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1280" windowHeight="6795" activeTab="0"/>
  </bookViews>
  <sheets>
    <sheet name="Comp Co Analysis" sheetId="1" r:id="rId1"/>
    <sheet name="ABC Pro For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<sst xmlns="http://schemas.openxmlformats.org/spreadsheetml/2006/main" count="185" uniqueCount="140">
  <si>
    <t>Revenues</t>
  </si>
  <si>
    <t>Operating Income</t>
  </si>
  <si>
    <t>Target</t>
  </si>
  <si>
    <t>Net Interest Expense</t>
  </si>
  <si>
    <t>Equity</t>
  </si>
  <si>
    <t>Earnings Before Taxes</t>
  </si>
  <si>
    <t>Income Taxes</t>
  </si>
  <si>
    <t>Net Income</t>
  </si>
  <si>
    <t>Cash</t>
  </si>
  <si>
    <t>Other Current Assets</t>
  </si>
  <si>
    <t>Other Assets</t>
  </si>
  <si>
    <t>Operating Expenses (a)</t>
  </si>
  <si>
    <t>(a) Included D&amp;A Exp</t>
  </si>
  <si>
    <t>Total Assets</t>
  </si>
  <si>
    <t>Debt Due Within One Year</t>
  </si>
  <si>
    <t>Long-Term Debt</t>
  </si>
  <si>
    <t>Total L&amp;E</t>
  </si>
  <si>
    <t>Shares Outstanding</t>
  </si>
  <si>
    <t>Market Price per Share</t>
  </si>
  <si>
    <t>Regression Beta</t>
  </si>
  <si>
    <t>All data is in millions except share prices and betas.</t>
  </si>
  <si>
    <t>NA</t>
  </si>
  <si>
    <t>TEV/EBITDA</t>
  </si>
  <si>
    <t>TEV/Sales</t>
  </si>
  <si>
    <t>TEV/EBIT</t>
  </si>
  <si>
    <t>Mean</t>
  </si>
  <si>
    <t>Median</t>
  </si>
  <si>
    <t>COMPARABLE COMPANY RATIOS</t>
  </si>
  <si>
    <t>Harmonic Mean</t>
  </si>
  <si>
    <t>Capital Expenditures</t>
  </si>
  <si>
    <t>IS</t>
  </si>
  <si>
    <t>CFS</t>
  </si>
  <si>
    <t>BS</t>
  </si>
  <si>
    <t>WSJ</t>
  </si>
  <si>
    <t>Bloomberg</t>
  </si>
  <si>
    <t>Debt Rating</t>
  </si>
  <si>
    <t>S&amp;P</t>
  </si>
  <si>
    <t>A2</t>
  </si>
  <si>
    <t>A3</t>
  </si>
  <si>
    <t>A1</t>
  </si>
  <si>
    <t>ABC</t>
  </si>
  <si>
    <t>Comp F</t>
  </si>
  <si>
    <t>Comp G</t>
  </si>
  <si>
    <t>Year</t>
  </si>
  <si>
    <t>ABC Company</t>
  </si>
  <si>
    <t>Actual</t>
  </si>
  <si>
    <t>Income Statement for Year</t>
  </si>
  <si>
    <t>Balance Sheet - 12/31/XX</t>
  </si>
  <si>
    <t>Revenue Growth --&gt;</t>
  </si>
  <si>
    <t>Forecast --&gt;</t>
  </si>
  <si>
    <t>Using Comparable Firm Ratios:</t>
  </si>
  <si>
    <t>Source (b)</t>
  </si>
  <si>
    <t xml:space="preserve">  </t>
  </si>
  <si>
    <t xml:space="preserve">    Bloomberg:</t>
  </si>
  <si>
    <t>(b) Sources:</t>
  </si>
  <si>
    <t>Balance Sheet</t>
  </si>
  <si>
    <t>Income Statement</t>
  </si>
  <si>
    <t>Cash Flow Statement</t>
  </si>
  <si>
    <t xml:space="preserve">    WSJ:</t>
  </si>
  <si>
    <t>Wall Street Journal</t>
  </si>
  <si>
    <t>Bloomberg Professional (On-Line)</t>
  </si>
  <si>
    <t xml:space="preserve">    CFS:</t>
  </si>
  <si>
    <t xml:space="preserve">    IS:</t>
  </si>
  <si>
    <t xml:space="preserve">    BS:</t>
  </si>
  <si>
    <t xml:space="preserve">    S&amp;P:</t>
  </si>
  <si>
    <t>Standard &amp; Poor's Rating Service</t>
  </si>
  <si>
    <t>ESTIMATED VALUE OF ABC USING</t>
  </si>
  <si>
    <t>(c) Use the following definition: TEV = BkVal of Debt + MktVal of Equity - Cash Balance</t>
  </si>
  <si>
    <t>Cash Flow Statement for Year</t>
  </si>
  <si>
    <t>Depreciation &amp; Amortization Exp</t>
  </si>
  <si>
    <t>Increase (Decrease) in Debt</t>
  </si>
  <si>
    <t>(a) Includes D&amp;A Expense</t>
  </si>
  <si>
    <t xml:space="preserve">Net Cash Flow </t>
  </si>
  <si>
    <t>Beginning Cash</t>
  </si>
  <si>
    <t>Ending Cash</t>
  </si>
  <si>
    <t>Increase in Other Assets</t>
  </si>
  <si>
    <t>Paid-In Capital</t>
  </si>
  <si>
    <t>Retained Earnings</t>
  </si>
  <si>
    <t>Beginning Retained Earnings</t>
  </si>
  <si>
    <t>Ending Retained Earnings</t>
  </si>
  <si>
    <t>Dividends</t>
  </si>
  <si>
    <t>Accumulated Depreciation</t>
  </si>
  <si>
    <t>Plant &amp; Equipment at Cost</t>
  </si>
  <si>
    <t>Cost of Debt</t>
  </si>
  <si>
    <t>Tax Rate</t>
  </si>
  <si>
    <t>After-Tax Cost of Debt</t>
  </si>
  <si>
    <t>Beta</t>
  </si>
  <si>
    <t>T-Bond Rate</t>
  </si>
  <si>
    <t>MRP</t>
  </si>
  <si>
    <t>Size Premium</t>
  </si>
  <si>
    <t>Cost of Equity</t>
  </si>
  <si>
    <t>Debt Ratio</t>
  </si>
  <si>
    <t>WACC</t>
  </si>
  <si>
    <t>D&amp;A</t>
  </si>
  <si>
    <t>CapEx</t>
  </si>
  <si>
    <t>Chg in WC</t>
  </si>
  <si>
    <t>Terminal Value</t>
  </si>
  <si>
    <t>Not Rated</t>
  </si>
  <si>
    <t>Net Plant and Equipment</t>
  </si>
  <si>
    <t>Accounts Receivables</t>
  </si>
  <si>
    <t>Inventories</t>
  </si>
  <si>
    <t>Accounts Payable</t>
  </si>
  <si>
    <t>Decrease (Increase) in Accts Rec</t>
  </si>
  <si>
    <t>Decrease (Increase) ) in Inventories</t>
  </si>
  <si>
    <t>Increase (Decrease) in Accts Payable</t>
  </si>
  <si>
    <t>TEV(c)</t>
  </si>
  <si>
    <t>Operating Income (EBIT)</t>
  </si>
  <si>
    <t>Total CFs</t>
  </si>
  <si>
    <t>Using constant growth terminal value</t>
  </si>
  <si>
    <t xml:space="preserve">TEV/EBITDA  Multiple </t>
  </si>
  <si>
    <t>DCF Valuation Worksheet</t>
  </si>
  <si>
    <t>PV of CFs at WACC =</t>
  </si>
  <si>
    <t xml:space="preserve">ABC Company </t>
  </si>
  <si>
    <t>Comparable Companies Valuation Analysis</t>
  </si>
  <si>
    <t>(18 entries)</t>
  </si>
  <si>
    <t>???</t>
  </si>
  <si>
    <t>FCFs</t>
  </si>
  <si>
    <t>Using the TEV/EBITDA Multiple for TV</t>
  </si>
  <si>
    <t>Alternative Terminal Value Method:</t>
  </si>
  <si>
    <t>Using the data above, fill in the</t>
  </si>
  <si>
    <t>18 cells that correspond to the</t>
  </si>
  <si>
    <t>various statistics and bases.</t>
  </si>
  <si>
    <t>Comp H</t>
  </si>
  <si>
    <t>Fill in the</t>
  </si>
  <si>
    <t>box at the</t>
  </si>
  <si>
    <t>left</t>
  </si>
  <si>
    <t>(12 entries)</t>
  </si>
  <si>
    <t>OpInc After Tax</t>
  </si>
  <si>
    <t>Using the data above, fill</t>
  </si>
  <si>
    <t>the entries in the three boxes</t>
  </si>
  <si>
    <t xml:space="preserve">to the right and the two PVs.  </t>
  </si>
  <si>
    <t>Check the WACC above; note</t>
  </si>
  <si>
    <t>in the cost of equity.</t>
  </si>
  <si>
    <t>that it includes a size premium</t>
  </si>
  <si>
    <t>Balance Sheet - 12/31/01</t>
  </si>
  <si>
    <t>On 12/31/01</t>
  </si>
  <si>
    <t xml:space="preserve">Post-2006 Growth </t>
  </si>
  <si>
    <t>2006 EBITDA</t>
  </si>
  <si>
    <t>2006 Term Val</t>
  </si>
  <si>
    <t>Year Ended 12/31/01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</si>
</sst>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&quot;$&quot;#,##0.0_);[Red]\(&quot;$&quot;#,##0.0\)"/>
    <numFmt numFmtId="170" formatCode="_(* #,##0.000_);_(* \(#,##0.000\);_(* &quot;-&quot;??_);_(@_)"/>
    <numFmt numFmtId="171" formatCode="_(* #,##0.0000_);_(* \(#,##0.0000\);_(* &quot;-&quot;??_);_(@_)"/>
    <numFmt numFmtId="172" formatCode="&quot;$&quot;#,##0.000_);[Red]\(&quot;$&quot;#,##0.000\)"/>
  </numFmts>
  <fonts count="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19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19" applyNumberFormat="1" applyAlignment="1">
      <alignment/>
    </xf>
    <xf numFmtId="43" fontId="0" fillId="0" borderId="0" xfId="15" applyAlignment="1">
      <alignment/>
    </xf>
    <xf numFmtId="168" fontId="0" fillId="0" borderId="0" xfId="15" applyNumberFormat="1" applyAlignment="1">
      <alignment/>
    </xf>
    <xf numFmtId="10" fontId="0" fillId="0" borderId="0" xfId="19" applyNumberFormat="1" applyFont="1" applyAlignment="1">
      <alignment/>
    </xf>
    <xf numFmtId="168" fontId="0" fillId="0" borderId="0" xfId="15" applyNumberFormat="1" applyFont="1" applyAlignment="1">
      <alignment/>
    </xf>
    <xf numFmtId="168" fontId="0" fillId="0" borderId="0" xfId="0" applyNumberFormat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5" xfId="15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0" fillId="0" borderId="7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8" fontId="0" fillId="0" borderId="14" xfId="15" applyNumberFormat="1" applyBorder="1" applyAlignment="1">
      <alignment/>
    </xf>
    <xf numFmtId="168" fontId="0" fillId="0" borderId="8" xfId="15" applyNumberFormat="1" applyBorder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7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5" xfId="15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8" xfId="15" applyNumberFormat="1" applyBorder="1" applyAlignment="1">
      <alignment/>
    </xf>
    <xf numFmtId="168" fontId="0" fillId="0" borderId="1" xfId="15" applyNumberFormat="1" applyBorder="1" applyAlignment="1">
      <alignment/>
    </xf>
    <xf numFmtId="168" fontId="0" fillId="0" borderId="2" xfId="15" applyNumberFormat="1" applyBorder="1" applyAlignment="1">
      <alignment/>
    </xf>
    <xf numFmtId="168" fontId="0" fillId="0" borderId="3" xfId="15" applyNumberFormat="1" applyBorder="1" applyAlignment="1">
      <alignment/>
    </xf>
    <xf numFmtId="168" fontId="0" fillId="0" borderId="4" xfId="15" applyNumberFormat="1" applyBorder="1" applyAlignment="1">
      <alignment/>
    </xf>
    <xf numFmtId="168" fontId="0" fillId="0" borderId="0" xfId="15" applyNumberFormat="1" applyBorder="1" applyAlignment="1">
      <alignment/>
    </xf>
    <xf numFmtId="168" fontId="0" fillId="0" borderId="5" xfId="15" applyNumberFormat="1" applyBorder="1" applyAlignment="1">
      <alignment/>
    </xf>
    <xf numFmtId="168" fontId="0" fillId="0" borderId="6" xfId="15" applyNumberFormat="1" applyBorder="1" applyAlignment="1">
      <alignment/>
    </xf>
    <xf numFmtId="168" fontId="0" fillId="0" borderId="7" xfId="15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4" fillId="0" borderId="0" xfId="0" applyFont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5.57421875" style="0" customWidth="1"/>
    <col min="2" max="2" width="10.57421875" style="0" customWidth="1"/>
    <col min="3" max="3" width="14.140625" style="0" customWidth="1"/>
    <col min="4" max="4" width="9.28125" style="0" customWidth="1"/>
    <col min="5" max="6" width="9.28125" style="0" bestFit="1" customWidth="1"/>
    <col min="7" max="7" width="11.140625" style="0" customWidth="1"/>
    <col min="8" max="8" width="3.57421875" style="0" customWidth="1"/>
    <col min="9" max="9" width="8.421875" style="0" customWidth="1"/>
    <col min="10" max="10" width="9.28125" style="0" customWidth="1"/>
    <col min="11" max="11" width="10.8515625" style="0" customWidth="1"/>
    <col min="12" max="12" width="9.28125" style="0" bestFit="1" customWidth="1"/>
    <col min="14" max="14" width="11.28125" style="0" customWidth="1"/>
  </cols>
  <sheetData>
    <row r="1" ht="12.75">
      <c r="A1" t="s">
        <v>112</v>
      </c>
    </row>
    <row r="2" ht="12.75">
      <c r="A2" t="s">
        <v>113</v>
      </c>
    </row>
    <row r="4" ht="12.75">
      <c r="A4" t="s">
        <v>20</v>
      </c>
    </row>
    <row r="5" ht="12.75">
      <c r="I5" s="3" t="s">
        <v>2</v>
      </c>
    </row>
    <row r="6" spans="1:9" ht="12.75">
      <c r="A6" t="s">
        <v>139</v>
      </c>
      <c r="D6" s="13" t="s">
        <v>51</v>
      </c>
      <c r="E6" s="14" t="s">
        <v>41</v>
      </c>
      <c r="F6" s="14" t="s">
        <v>42</v>
      </c>
      <c r="G6" s="14" t="s">
        <v>122</v>
      </c>
      <c r="H6" s="13"/>
      <c r="I6" s="14" t="s">
        <v>40</v>
      </c>
    </row>
    <row r="7" spans="2:11" ht="12.75">
      <c r="B7" t="s">
        <v>0</v>
      </c>
      <c r="D7" s="3" t="s">
        <v>30</v>
      </c>
      <c r="E7" s="2">
        <v>2312</v>
      </c>
      <c r="F7" s="2">
        <v>5790</v>
      </c>
      <c r="G7" s="2">
        <v>3745</v>
      </c>
      <c r="H7" s="2"/>
      <c r="I7" s="2">
        <v>4562</v>
      </c>
      <c r="J7" s="2"/>
      <c r="K7" s="2"/>
    </row>
    <row r="8" spans="2:11" ht="12.75">
      <c r="B8" t="s">
        <v>11</v>
      </c>
      <c r="D8" s="3" t="s">
        <v>30</v>
      </c>
      <c r="E8" s="2">
        <v>1572</v>
      </c>
      <c r="F8" s="2">
        <v>4140</v>
      </c>
      <c r="G8" s="2">
        <v>2543</v>
      </c>
      <c r="H8" s="2"/>
      <c r="I8" s="2">
        <v>3502</v>
      </c>
      <c r="J8" s="2"/>
      <c r="K8" s="2"/>
    </row>
    <row r="9" spans="2:11" ht="12.75">
      <c r="B9" t="s">
        <v>106</v>
      </c>
      <c r="D9" s="3" t="s">
        <v>30</v>
      </c>
      <c r="E9" s="2">
        <f>E7-E8</f>
        <v>740</v>
      </c>
      <c r="F9" s="2">
        <f>F7-F8</f>
        <v>1650</v>
      </c>
      <c r="G9" s="2">
        <f>G7-G8</f>
        <v>1202</v>
      </c>
      <c r="H9" s="2"/>
      <c r="I9" s="2">
        <f>I7-I8</f>
        <v>1060</v>
      </c>
      <c r="J9" s="2"/>
      <c r="K9" s="2"/>
    </row>
    <row r="10" spans="2:11" ht="12.75">
      <c r="B10" t="s">
        <v>3</v>
      </c>
      <c r="D10" s="3" t="s">
        <v>30</v>
      </c>
      <c r="E10" s="21">
        <v>72</v>
      </c>
      <c r="F10" s="2">
        <v>145</v>
      </c>
      <c r="G10" s="2">
        <v>69</v>
      </c>
      <c r="H10" s="2"/>
      <c r="I10" s="2">
        <v>115</v>
      </c>
      <c r="J10" s="2"/>
      <c r="K10" s="2"/>
    </row>
    <row r="11" spans="2:11" ht="12.75">
      <c r="B11" t="s">
        <v>5</v>
      </c>
      <c r="D11" s="3" t="s">
        <v>30</v>
      </c>
      <c r="E11" s="2">
        <f>E9-E10</f>
        <v>668</v>
      </c>
      <c r="F11" s="2">
        <f>F9-F10</f>
        <v>1505</v>
      </c>
      <c r="G11" s="2">
        <f>G9-G10</f>
        <v>1133</v>
      </c>
      <c r="H11" s="2"/>
      <c r="I11" s="2">
        <f>I9-I10</f>
        <v>945</v>
      </c>
      <c r="J11" s="2"/>
      <c r="K11" s="2"/>
    </row>
    <row r="12" spans="2:11" ht="12.75">
      <c r="B12" t="s">
        <v>6</v>
      </c>
      <c r="D12" s="3" t="s">
        <v>30</v>
      </c>
      <c r="E12" s="2">
        <v>265</v>
      </c>
      <c r="F12" s="2">
        <v>501</v>
      </c>
      <c r="G12" s="2">
        <v>396</v>
      </c>
      <c r="H12" s="2"/>
      <c r="I12" s="2">
        <v>359</v>
      </c>
      <c r="J12" s="2"/>
      <c r="K12" s="2"/>
    </row>
    <row r="13" spans="2:11" ht="12.75">
      <c r="B13" t="s">
        <v>7</v>
      </c>
      <c r="D13" s="3" t="s">
        <v>30</v>
      </c>
      <c r="E13" s="2">
        <f>E11-E12</f>
        <v>403</v>
      </c>
      <c r="F13" s="2">
        <f>F11-F12</f>
        <v>1004</v>
      </c>
      <c r="G13" s="2">
        <f>G11-G12</f>
        <v>737</v>
      </c>
      <c r="H13" s="2"/>
      <c r="I13" s="2">
        <f>I11-I12</f>
        <v>586</v>
      </c>
      <c r="J13" s="2"/>
      <c r="K13" s="2"/>
    </row>
    <row r="14" spans="4:11" ht="12.75">
      <c r="D14" s="3"/>
      <c r="E14" s="2"/>
      <c r="F14" s="2"/>
      <c r="G14" s="2"/>
      <c r="H14" s="2"/>
      <c r="I14" s="2"/>
      <c r="J14" s="2"/>
      <c r="K14" s="2"/>
    </row>
    <row r="15" spans="2:11" ht="12.75">
      <c r="B15" t="s">
        <v>12</v>
      </c>
      <c r="D15" s="3" t="s">
        <v>31</v>
      </c>
      <c r="E15" s="2">
        <v>152</v>
      </c>
      <c r="F15" s="2">
        <v>380</v>
      </c>
      <c r="G15" s="2">
        <v>219</v>
      </c>
      <c r="H15" s="2"/>
      <c r="I15" s="2">
        <v>311</v>
      </c>
      <c r="J15" s="2"/>
      <c r="K15" s="2"/>
    </row>
    <row r="16" spans="4:11" ht="12.75">
      <c r="D16" s="3"/>
      <c r="E16" s="2"/>
      <c r="F16" s="2"/>
      <c r="G16" s="2"/>
      <c r="H16" s="2"/>
      <c r="I16" s="2"/>
      <c r="J16" s="2"/>
      <c r="K16" s="2"/>
    </row>
    <row r="17" spans="1:11" ht="12.75">
      <c r="A17" t="s">
        <v>134</v>
      </c>
      <c r="D17" s="3"/>
      <c r="E17" s="2"/>
      <c r="F17" s="2"/>
      <c r="G17" s="2"/>
      <c r="H17" s="2"/>
      <c r="I17" s="2"/>
      <c r="J17" s="2"/>
      <c r="K17" s="2"/>
    </row>
    <row r="18" spans="2:11" ht="12.75">
      <c r="B18" t="s">
        <v>8</v>
      </c>
      <c r="D18" s="3" t="s">
        <v>32</v>
      </c>
      <c r="E18" s="2">
        <v>12</v>
      </c>
      <c r="F18" s="2">
        <v>19</v>
      </c>
      <c r="G18" s="2">
        <v>54</v>
      </c>
      <c r="H18" s="2"/>
      <c r="I18" s="2">
        <v>18</v>
      </c>
      <c r="J18" s="2"/>
      <c r="K18" s="2"/>
    </row>
    <row r="19" spans="2:11" ht="12.75">
      <c r="B19" t="s">
        <v>9</v>
      </c>
      <c r="D19" s="3" t="s">
        <v>32</v>
      </c>
      <c r="E19" s="2">
        <v>802</v>
      </c>
      <c r="F19" s="2">
        <v>1327</v>
      </c>
      <c r="G19" s="2">
        <v>1098</v>
      </c>
      <c r="H19" s="2"/>
      <c r="I19" s="2">
        <f>507+684</f>
        <v>1191</v>
      </c>
      <c r="J19" s="2"/>
      <c r="K19" s="2"/>
    </row>
    <row r="20" spans="2:11" ht="12.75">
      <c r="B20" t="s">
        <v>98</v>
      </c>
      <c r="D20" s="3" t="s">
        <v>32</v>
      </c>
      <c r="E20" s="2">
        <v>1601</v>
      </c>
      <c r="F20" s="2">
        <v>3142</v>
      </c>
      <c r="G20" s="2">
        <v>2647</v>
      </c>
      <c r="H20" s="2"/>
      <c r="I20" s="2">
        <f>3884-1020</f>
        <v>2864</v>
      </c>
      <c r="J20" s="2"/>
      <c r="K20" s="2"/>
    </row>
    <row r="21" spans="2:11" ht="12.75">
      <c r="B21" t="s">
        <v>10</v>
      </c>
      <c r="D21" s="3" t="s">
        <v>32</v>
      </c>
      <c r="E21" s="2">
        <v>23</v>
      </c>
      <c r="F21" s="2">
        <v>11</v>
      </c>
      <c r="G21" s="2">
        <v>67</v>
      </c>
      <c r="H21" s="2"/>
      <c r="I21" s="2">
        <v>41</v>
      </c>
      <c r="J21" s="2"/>
      <c r="K21" s="2"/>
    </row>
    <row r="22" spans="2:11" ht="12.75">
      <c r="B22" t="s">
        <v>13</v>
      </c>
      <c r="D22" s="3" t="s">
        <v>32</v>
      </c>
      <c r="E22" s="2">
        <f>SUM(E18:E21)</f>
        <v>2438</v>
      </c>
      <c r="F22" s="2">
        <f>SUM(F18:F21)</f>
        <v>4499</v>
      </c>
      <c r="G22" s="2">
        <f>SUM(G18:G21)</f>
        <v>3866</v>
      </c>
      <c r="H22" s="2"/>
      <c r="I22" s="2">
        <f>SUM(I18:I21)</f>
        <v>4114</v>
      </c>
      <c r="J22" s="2"/>
      <c r="K22" s="2"/>
    </row>
    <row r="23" spans="10:11" ht="12.75">
      <c r="J23" s="2"/>
      <c r="K23" s="2"/>
    </row>
    <row r="24" spans="2:11" ht="12.75">
      <c r="B24" t="s">
        <v>101</v>
      </c>
      <c r="D24" s="3" t="s">
        <v>32</v>
      </c>
      <c r="E24" s="2">
        <v>166</v>
      </c>
      <c r="F24" s="2">
        <v>225</v>
      </c>
      <c r="G24" s="2">
        <v>206</v>
      </c>
      <c r="H24" s="2"/>
      <c r="I24" s="2">
        <v>228</v>
      </c>
      <c r="J24" s="2"/>
      <c r="K24" s="2"/>
    </row>
    <row r="25" spans="2:11" ht="12.75">
      <c r="B25" t="s">
        <v>14</v>
      </c>
      <c r="D25" s="3" t="s">
        <v>32</v>
      </c>
      <c r="E25" s="2">
        <v>167</v>
      </c>
      <c r="F25" s="2">
        <v>165</v>
      </c>
      <c r="G25" s="2">
        <v>70</v>
      </c>
      <c r="H25" s="2"/>
      <c r="I25" s="2">
        <v>123</v>
      </c>
      <c r="J25" s="2"/>
      <c r="K25" s="2"/>
    </row>
    <row r="26" spans="2:11" ht="12.75">
      <c r="B26" t="s">
        <v>15</v>
      </c>
      <c r="D26" s="3" t="s">
        <v>32</v>
      </c>
      <c r="E26" s="2">
        <f>0.4*(E22-E24)-E25</f>
        <v>741.8000000000001</v>
      </c>
      <c r="F26" s="2">
        <f>0.4*(F22-F24)-F25</f>
        <v>1544.6000000000001</v>
      </c>
      <c r="G26" s="2">
        <f>0.25*(G22-G24)-G25</f>
        <v>845</v>
      </c>
      <c r="H26" s="2"/>
      <c r="I26" s="2">
        <v>1106</v>
      </c>
      <c r="J26" s="2"/>
      <c r="K26" s="2"/>
    </row>
    <row r="27" spans="2:11" ht="12.75">
      <c r="B27" t="s">
        <v>4</v>
      </c>
      <c r="D27" s="3" t="s">
        <v>32</v>
      </c>
      <c r="E27" s="2">
        <f>0.6*(E22-E24)</f>
        <v>1363.2</v>
      </c>
      <c r="F27" s="2">
        <f>0.6*(F22-F24)</f>
        <v>2564.4</v>
      </c>
      <c r="G27" s="2">
        <f>0.75*(G22-G24)</f>
        <v>2745</v>
      </c>
      <c r="H27" s="2"/>
      <c r="I27" s="2">
        <f>1657+1000</f>
        <v>2657</v>
      </c>
      <c r="J27" s="2"/>
      <c r="K27" s="2"/>
    </row>
    <row r="28" spans="2:11" ht="12.75">
      <c r="B28" t="s">
        <v>16</v>
      </c>
      <c r="D28" s="3" t="s">
        <v>32</v>
      </c>
      <c r="E28" s="2">
        <f>SUM(E24:E27)</f>
        <v>2438</v>
      </c>
      <c r="F28" s="2">
        <f>SUM(F24:F27)</f>
        <v>4499</v>
      </c>
      <c r="G28" s="2">
        <f>SUM(G24:G27)</f>
        <v>3866</v>
      </c>
      <c r="H28" s="2"/>
      <c r="I28" s="2">
        <f>SUM(I23:I27)</f>
        <v>4114</v>
      </c>
      <c r="J28" s="2"/>
      <c r="K28" s="2"/>
    </row>
    <row r="29" spans="4:11" ht="12.75">
      <c r="D29" s="3"/>
      <c r="E29" s="2"/>
      <c r="F29" s="2"/>
      <c r="G29" s="2"/>
      <c r="H29" s="2"/>
      <c r="I29" s="2"/>
      <c r="J29" s="2"/>
      <c r="K29" s="2"/>
    </row>
    <row r="30" spans="2:11" ht="12.75">
      <c r="B30" t="s">
        <v>17</v>
      </c>
      <c r="D30" s="3" t="s">
        <v>32</v>
      </c>
      <c r="E30" s="2">
        <v>245</v>
      </c>
      <c r="F30" s="2">
        <v>559</v>
      </c>
      <c r="G30" s="2">
        <v>1542</v>
      </c>
      <c r="H30" s="2"/>
      <c r="I30" s="6" t="s">
        <v>21</v>
      </c>
      <c r="J30" s="2"/>
      <c r="K30" s="2"/>
    </row>
    <row r="31" spans="2:9" ht="12.75">
      <c r="B31" t="s">
        <v>18</v>
      </c>
      <c r="D31" s="3" t="s">
        <v>33</v>
      </c>
      <c r="E31">
        <v>19.66</v>
      </c>
      <c r="F31">
        <v>21.32</v>
      </c>
      <c r="G31">
        <v>8.01</v>
      </c>
      <c r="I31" s="3" t="s">
        <v>21</v>
      </c>
    </row>
    <row r="32" spans="2:9" ht="12.75">
      <c r="B32" t="s">
        <v>19</v>
      </c>
      <c r="D32" s="7" t="s">
        <v>34</v>
      </c>
      <c r="E32" s="1">
        <v>0.78</v>
      </c>
      <c r="F32" s="1">
        <v>0.87</v>
      </c>
      <c r="G32" s="1">
        <v>0.91</v>
      </c>
      <c r="H32" s="1"/>
      <c r="I32" s="3" t="s">
        <v>21</v>
      </c>
    </row>
    <row r="33" spans="2:9" ht="12.75">
      <c r="B33" t="s">
        <v>29</v>
      </c>
      <c r="D33" s="3" t="s">
        <v>31</v>
      </c>
      <c r="E33" s="18">
        <v>211</v>
      </c>
      <c r="F33" s="18">
        <v>420</v>
      </c>
      <c r="G33" s="18">
        <v>333</v>
      </c>
      <c r="H33" s="18"/>
      <c r="I33" s="18">
        <v>370</v>
      </c>
    </row>
    <row r="34" spans="2:9" ht="12.75">
      <c r="B34" t="s">
        <v>35</v>
      </c>
      <c r="D34" s="3" t="s">
        <v>36</v>
      </c>
      <c r="E34" s="3" t="s">
        <v>37</v>
      </c>
      <c r="F34" s="3" t="s">
        <v>38</v>
      </c>
      <c r="G34" s="3" t="s">
        <v>39</v>
      </c>
      <c r="I34" s="3" t="s">
        <v>97</v>
      </c>
    </row>
    <row r="35" spans="4:9" ht="12.75">
      <c r="D35" s="3"/>
      <c r="E35" s="3"/>
      <c r="F35" s="3"/>
      <c r="G35" s="3"/>
      <c r="I35" s="3"/>
    </row>
    <row r="36" spans="2:9" ht="12.75">
      <c r="B36" t="s">
        <v>105</v>
      </c>
      <c r="D36" s="66"/>
      <c r="E36" s="65"/>
      <c r="F36" s="60"/>
      <c r="G36" s="61"/>
      <c r="I36" s="64" t="s">
        <v>123</v>
      </c>
    </row>
    <row r="37" spans="2:9" ht="12.75">
      <c r="B37" t="s">
        <v>22</v>
      </c>
      <c r="D37" s="66"/>
      <c r="E37" s="46"/>
      <c r="F37" s="47"/>
      <c r="G37" s="62"/>
      <c r="I37" s="64" t="s">
        <v>124</v>
      </c>
    </row>
    <row r="38" spans="2:9" ht="12.75">
      <c r="B38" t="s">
        <v>23</v>
      </c>
      <c r="D38" s="66"/>
      <c r="E38" s="46"/>
      <c r="F38" s="47"/>
      <c r="G38" s="62"/>
      <c r="I38" s="64" t="s">
        <v>125</v>
      </c>
    </row>
    <row r="39" spans="2:9" ht="12.75">
      <c r="B39" t="s">
        <v>24</v>
      </c>
      <c r="D39" s="66"/>
      <c r="E39" s="49"/>
      <c r="F39" s="50"/>
      <c r="G39" s="63"/>
      <c r="I39" s="64" t="s">
        <v>126</v>
      </c>
    </row>
    <row r="40" ht="12.75">
      <c r="B40" t="s">
        <v>67</v>
      </c>
    </row>
    <row r="42" spans="2:9" ht="12.75">
      <c r="B42" t="s">
        <v>135</v>
      </c>
      <c r="E42" t="s">
        <v>27</v>
      </c>
      <c r="F42" s="3"/>
      <c r="G42" s="3"/>
      <c r="H42" s="3"/>
      <c r="I42" t="s">
        <v>66</v>
      </c>
    </row>
    <row r="43" spans="2:11" ht="12.75">
      <c r="B43" t="s">
        <v>50</v>
      </c>
      <c r="E43" s="4" t="s">
        <v>25</v>
      </c>
      <c r="F43" s="4" t="s">
        <v>26</v>
      </c>
      <c r="G43" s="4" t="s">
        <v>28</v>
      </c>
      <c r="H43" s="4"/>
      <c r="I43" s="4" t="s">
        <v>25</v>
      </c>
      <c r="J43" s="4" t="s">
        <v>26</v>
      </c>
      <c r="K43" s="4" t="s">
        <v>28</v>
      </c>
    </row>
    <row r="44" ht="12.75">
      <c r="B44" t="s">
        <v>114</v>
      </c>
    </row>
    <row r="46" spans="3:11" ht="12.75">
      <c r="C46" t="s">
        <v>22</v>
      </c>
      <c r="E46" s="43"/>
      <c r="F46" s="44"/>
      <c r="G46" s="45"/>
      <c r="I46" s="52"/>
      <c r="J46" s="53"/>
      <c r="K46" s="54"/>
    </row>
    <row r="47" spans="3:11" ht="12.75">
      <c r="C47" t="s">
        <v>23</v>
      </c>
      <c r="E47" s="46"/>
      <c r="F47" s="47"/>
      <c r="G47" s="48"/>
      <c r="I47" s="55"/>
      <c r="J47" s="56"/>
      <c r="K47" s="57"/>
    </row>
    <row r="48" spans="3:11" ht="12.75">
      <c r="C48" t="s">
        <v>24</v>
      </c>
      <c r="E48" s="49"/>
      <c r="F48" s="50"/>
      <c r="G48" s="51"/>
      <c r="I48" s="58"/>
      <c r="J48" s="59"/>
      <c r="K48" s="40"/>
    </row>
    <row r="51" spans="2:9" ht="12.75">
      <c r="B51" t="s">
        <v>54</v>
      </c>
      <c r="C51" t="s">
        <v>63</v>
      </c>
      <c r="D51" t="s">
        <v>55</v>
      </c>
      <c r="I51" s="42" t="s">
        <v>119</v>
      </c>
    </row>
    <row r="52" spans="3:9" ht="12.75">
      <c r="C52" t="s">
        <v>62</v>
      </c>
      <c r="D52" t="s">
        <v>56</v>
      </c>
      <c r="I52" s="42" t="s">
        <v>120</v>
      </c>
    </row>
    <row r="53" spans="2:9" ht="12.75">
      <c r="B53" t="s">
        <v>52</v>
      </c>
      <c r="C53" t="s">
        <v>61</v>
      </c>
      <c r="D53" t="s">
        <v>57</v>
      </c>
      <c r="I53" s="42" t="s">
        <v>121</v>
      </c>
    </row>
    <row r="54" spans="3:5" ht="12.75">
      <c r="C54" t="s">
        <v>58</v>
      </c>
      <c r="D54" t="s">
        <v>59</v>
      </c>
      <c r="E54" s="5"/>
    </row>
    <row r="55" spans="3:4" ht="12.75">
      <c r="C55" t="s">
        <v>53</v>
      </c>
      <c r="D55" t="s">
        <v>60</v>
      </c>
    </row>
    <row r="56" spans="3:4" ht="12.75">
      <c r="C56" t="s">
        <v>64</v>
      </c>
      <c r="D56" t="s">
        <v>65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75" zoomScaleNormal="75" workbookViewId="0" topLeftCell="A37">
      <selection activeCell="D2" sqref="D2"/>
    </sheetView>
  </sheetViews>
  <sheetFormatPr defaultColWidth="9.140625" defaultRowHeight="12.75"/>
  <cols>
    <col min="3" max="3" width="9.8515625" style="0" customWidth="1"/>
    <col min="5" max="5" width="5.28125" style="0" customWidth="1"/>
    <col min="6" max="6" width="14.140625" style="0" customWidth="1"/>
    <col min="7" max="7" width="11.7109375" style="0" customWidth="1"/>
    <col min="10" max="10" width="10.421875" style="0" customWidth="1"/>
    <col min="11" max="11" width="9.57421875" style="0" customWidth="1"/>
  </cols>
  <sheetData>
    <row r="1" spans="1:12" ht="12.75">
      <c r="A1" s="8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/>
      <c r="B3" s="8"/>
      <c r="C3" s="8"/>
      <c r="D3" s="8"/>
      <c r="E3" s="8"/>
      <c r="F3" s="9" t="s">
        <v>45</v>
      </c>
      <c r="G3" s="8" t="s">
        <v>49</v>
      </c>
      <c r="H3" s="8"/>
      <c r="I3" s="8"/>
      <c r="J3" s="8"/>
      <c r="K3" s="8"/>
      <c r="L3" s="8"/>
    </row>
    <row r="4" spans="1:12" ht="12.75">
      <c r="A4" s="8" t="s">
        <v>43</v>
      </c>
      <c r="B4" s="8"/>
      <c r="C4" s="8"/>
      <c r="D4" s="8"/>
      <c r="E4" s="8"/>
      <c r="F4" s="9">
        <v>2001</v>
      </c>
      <c r="G4" s="8">
        <v>2002</v>
      </c>
      <c r="H4" s="8">
        <v>2003</v>
      </c>
      <c r="I4" s="8">
        <v>2004</v>
      </c>
      <c r="J4" s="8">
        <v>2005</v>
      </c>
      <c r="K4" s="8">
        <v>2006</v>
      </c>
      <c r="L4" s="8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 t="s">
        <v>46</v>
      </c>
      <c r="B6" s="8"/>
      <c r="C6" s="8"/>
      <c r="D6" s="8" t="s">
        <v>48</v>
      </c>
      <c r="E6" s="8"/>
      <c r="F6" s="8"/>
      <c r="G6" s="10">
        <v>0.09</v>
      </c>
      <c r="H6" s="10">
        <v>0.08</v>
      </c>
      <c r="I6" s="10">
        <v>0.07</v>
      </c>
      <c r="J6" s="10">
        <v>0.06</v>
      </c>
      <c r="K6" s="10">
        <v>0.06</v>
      </c>
      <c r="L6" s="8"/>
    </row>
    <row r="7" spans="1:12" ht="12.75">
      <c r="A7" s="8"/>
      <c r="B7" s="8" t="s">
        <v>0</v>
      </c>
      <c r="C7" s="8"/>
      <c r="D7" s="8"/>
      <c r="E7" s="8"/>
      <c r="F7" s="11">
        <v>4562</v>
      </c>
      <c r="G7" s="11">
        <f>F7*(1+G6)</f>
        <v>4972.58</v>
      </c>
      <c r="H7" s="11">
        <f>G7*(1+H6)</f>
        <v>5370.3864</v>
      </c>
      <c r="I7" s="11">
        <f>H7*(1+I6)</f>
        <v>5746.313448000001</v>
      </c>
      <c r="J7" s="11">
        <f>I7*(1+J6)</f>
        <v>6091.092254880001</v>
      </c>
      <c r="K7" s="11">
        <f>J7*(1+K6)</f>
        <v>6456.557790172801</v>
      </c>
      <c r="L7" s="8"/>
    </row>
    <row r="8" spans="1:12" ht="12.75">
      <c r="A8" s="8"/>
      <c r="B8" s="8" t="s">
        <v>11</v>
      </c>
      <c r="C8" s="8"/>
      <c r="D8" s="8"/>
      <c r="E8" s="8"/>
      <c r="F8" s="11">
        <v>3502</v>
      </c>
      <c r="G8" s="11">
        <f>G7-G9</f>
        <v>3817.1800000000003</v>
      </c>
      <c r="H8" s="11">
        <f>H7-H9</f>
        <v>4122.5544</v>
      </c>
      <c r="I8" s="11">
        <f>I7-I9</f>
        <v>4411.133208000001</v>
      </c>
      <c r="J8" s="11">
        <f>J7-J9</f>
        <v>4675.80120048</v>
      </c>
      <c r="K8" s="11">
        <f>K7-K9</f>
        <v>4956.349272508801</v>
      </c>
      <c r="L8" s="8"/>
    </row>
    <row r="9" spans="1:12" ht="12.75">
      <c r="A9" s="8"/>
      <c r="B9" s="8" t="s">
        <v>1</v>
      </c>
      <c r="C9" s="8"/>
      <c r="D9" s="8"/>
      <c r="E9" s="8"/>
      <c r="F9" s="11">
        <f>F7-F8</f>
        <v>1060</v>
      </c>
      <c r="G9" s="11">
        <f>F9*G7/F7</f>
        <v>1155.3999999999999</v>
      </c>
      <c r="H9" s="11">
        <f>G9*H7/G7</f>
        <v>1247.832</v>
      </c>
      <c r="I9" s="11">
        <f>H9*I7/H7</f>
        <v>1335.1802400000001</v>
      </c>
      <c r="J9" s="11">
        <f>I9*J7/I7</f>
        <v>1415.2910544000001</v>
      </c>
      <c r="K9" s="11">
        <f>J9*K7/J7</f>
        <v>1500.208517664</v>
      </c>
      <c r="L9" s="8"/>
    </row>
    <row r="10" spans="1:12" ht="12.75">
      <c r="A10" s="8"/>
      <c r="B10" s="8" t="s">
        <v>3</v>
      </c>
      <c r="C10" s="8"/>
      <c r="D10" s="8"/>
      <c r="E10" s="8"/>
      <c r="F10" s="11">
        <v>115</v>
      </c>
      <c r="G10" s="20">
        <f>0.08*(F32+F33)</f>
        <v>98.30853333333333</v>
      </c>
      <c r="H10" s="20">
        <f>0.08*(G32+G33)</f>
        <v>101.23106613333334</v>
      </c>
      <c r="I10" s="20">
        <f>0.08*(H32+H33)</f>
        <v>103.15951622400001</v>
      </c>
      <c r="J10" s="20">
        <f>0.08*(I32+I33)</f>
        <v>103.88456280768001</v>
      </c>
      <c r="K10" s="20">
        <f>0.08*(J32+J33)</f>
        <v>103.20764557198085</v>
      </c>
      <c r="L10" s="8"/>
    </row>
    <row r="11" spans="1:12" ht="12.75">
      <c r="A11" s="8"/>
      <c r="B11" s="8" t="s">
        <v>5</v>
      </c>
      <c r="C11" s="8"/>
      <c r="D11" s="8"/>
      <c r="E11" s="8"/>
      <c r="F11" s="11">
        <f aca="true" t="shared" si="0" ref="F11:K11">F9-F10</f>
        <v>945</v>
      </c>
      <c r="G11" s="11">
        <f t="shared" si="0"/>
        <v>1057.0914666666665</v>
      </c>
      <c r="H11" s="11">
        <f t="shared" si="0"/>
        <v>1146.6009338666668</v>
      </c>
      <c r="I11" s="11">
        <f t="shared" si="0"/>
        <v>1232.020723776</v>
      </c>
      <c r="J11" s="11">
        <f t="shared" si="0"/>
        <v>1311.4064915923202</v>
      </c>
      <c r="K11" s="11">
        <f t="shared" si="0"/>
        <v>1397.000872092019</v>
      </c>
      <c r="L11" s="8"/>
    </row>
    <row r="12" spans="1:12" ht="12.75">
      <c r="A12" s="8"/>
      <c r="B12" s="8" t="s">
        <v>6</v>
      </c>
      <c r="C12" s="8"/>
      <c r="D12" s="8"/>
      <c r="E12" s="8"/>
      <c r="F12" s="11">
        <f>0.38*F11</f>
        <v>359.1</v>
      </c>
      <c r="G12" s="11">
        <f>F12*G11/F11</f>
        <v>401.6947573333333</v>
      </c>
      <c r="H12" s="11">
        <f>G12*H11/G11</f>
        <v>435.7083548693334</v>
      </c>
      <c r="I12" s="11">
        <f>H12*I11/H11</f>
        <v>468.16787503488007</v>
      </c>
      <c r="J12" s="11">
        <f>I12*J11/I11</f>
        <v>498.3344668050817</v>
      </c>
      <c r="K12" s="11">
        <f>J12*K11/J11</f>
        <v>530.8603313949673</v>
      </c>
      <c r="L12" s="8"/>
    </row>
    <row r="13" spans="1:12" ht="12.75">
      <c r="A13" s="8"/>
      <c r="B13" s="8" t="s">
        <v>7</v>
      </c>
      <c r="C13" s="8"/>
      <c r="D13" s="8"/>
      <c r="E13" s="8"/>
      <c r="F13" s="11">
        <f aca="true" t="shared" si="1" ref="F13:K13">F11-F12</f>
        <v>585.9</v>
      </c>
      <c r="G13" s="11">
        <f t="shared" si="1"/>
        <v>655.3967093333332</v>
      </c>
      <c r="H13" s="11">
        <f t="shared" si="1"/>
        <v>710.8925789973334</v>
      </c>
      <c r="I13" s="11">
        <f t="shared" si="1"/>
        <v>763.8528487411199</v>
      </c>
      <c r="J13" s="11">
        <f t="shared" si="1"/>
        <v>813.0720247872384</v>
      </c>
      <c r="K13" s="11">
        <f t="shared" si="1"/>
        <v>866.1405406970518</v>
      </c>
      <c r="L13" s="8"/>
    </row>
    <row r="14" spans="1:12" ht="12.75">
      <c r="A14" s="8"/>
      <c r="B14" s="8"/>
      <c r="C14" s="8"/>
      <c r="D14" s="8"/>
      <c r="E14" s="8"/>
      <c r="F14" s="11"/>
      <c r="G14" s="11"/>
      <c r="H14" s="11"/>
      <c r="I14" s="11"/>
      <c r="J14" s="11"/>
      <c r="K14" s="11"/>
      <c r="L14" s="8"/>
    </row>
    <row r="15" spans="1:12" ht="12.75">
      <c r="A15" s="8"/>
      <c r="B15" s="8" t="s">
        <v>78</v>
      </c>
      <c r="C15" s="8"/>
      <c r="D15" s="8"/>
      <c r="E15" s="8"/>
      <c r="F15" s="2">
        <v>1721</v>
      </c>
      <c r="G15" s="2">
        <f>F18</f>
        <v>1656.9</v>
      </c>
      <c r="H15" s="2">
        <f>G18</f>
        <v>1712.2967093333332</v>
      </c>
      <c r="I15" s="2">
        <f>H35</f>
        <v>1748.1892883306664</v>
      </c>
      <c r="J15" s="2">
        <f>I35</f>
        <v>1752.0421370717863</v>
      </c>
      <c r="K15" s="2">
        <f>J35</f>
        <v>1715.1141618590245</v>
      </c>
      <c r="L15" s="8"/>
    </row>
    <row r="16" spans="1:12" ht="12.75">
      <c r="A16" s="8"/>
      <c r="B16" s="8" t="s">
        <v>7</v>
      </c>
      <c r="C16" s="8"/>
      <c r="D16" s="8"/>
      <c r="E16" s="8"/>
      <c r="F16" s="11">
        <f aca="true" t="shared" si="2" ref="F16:K16">F13</f>
        <v>585.9</v>
      </c>
      <c r="G16" s="11">
        <f t="shared" si="2"/>
        <v>655.3967093333332</v>
      </c>
      <c r="H16" s="11">
        <f t="shared" si="2"/>
        <v>710.8925789973334</v>
      </c>
      <c r="I16" s="11">
        <f t="shared" si="2"/>
        <v>763.8528487411199</v>
      </c>
      <c r="J16" s="11">
        <f t="shared" si="2"/>
        <v>813.0720247872384</v>
      </c>
      <c r="K16" s="11">
        <f t="shared" si="2"/>
        <v>866.1405406970518</v>
      </c>
      <c r="L16" s="8"/>
    </row>
    <row r="17" spans="1:12" ht="12.75">
      <c r="A17" s="8"/>
      <c r="B17" s="8" t="s">
        <v>80</v>
      </c>
      <c r="C17" s="8"/>
      <c r="D17" s="8"/>
      <c r="E17" s="8"/>
      <c r="F17" s="11">
        <v>-650</v>
      </c>
      <c r="G17" s="11">
        <v>-600</v>
      </c>
      <c r="H17" s="11">
        <v>-675</v>
      </c>
      <c r="I17" s="11">
        <v>-760</v>
      </c>
      <c r="J17" s="11">
        <v>-850</v>
      </c>
      <c r="K17" s="11">
        <v>-910</v>
      </c>
      <c r="L17" s="8"/>
    </row>
    <row r="18" spans="1:12" ht="12.75">
      <c r="A18" s="8"/>
      <c r="B18" s="8" t="s">
        <v>79</v>
      </c>
      <c r="C18" s="8"/>
      <c r="D18" s="8"/>
      <c r="E18" s="8"/>
      <c r="F18" s="11">
        <f aca="true" t="shared" si="3" ref="F18:K18">F15+F16+F17</f>
        <v>1656.9</v>
      </c>
      <c r="G18" s="11">
        <f t="shared" si="3"/>
        <v>1712.2967093333332</v>
      </c>
      <c r="H18" s="11">
        <f t="shared" si="3"/>
        <v>1748.1892883306664</v>
      </c>
      <c r="I18" s="11">
        <f t="shared" si="3"/>
        <v>1752.0421370717863</v>
      </c>
      <c r="J18" s="11">
        <f t="shared" si="3"/>
        <v>1715.1141618590245</v>
      </c>
      <c r="K18" s="11">
        <f t="shared" si="3"/>
        <v>1671.2547025560762</v>
      </c>
      <c r="L18" s="8"/>
    </row>
    <row r="19" spans="1:12" ht="12.75">
      <c r="A19" s="8"/>
      <c r="B19" s="8"/>
      <c r="C19" s="8"/>
      <c r="D19" s="8"/>
      <c r="E19" s="8"/>
      <c r="F19" s="11"/>
      <c r="G19" s="11"/>
      <c r="H19" s="11"/>
      <c r="I19" s="11"/>
      <c r="J19" s="11"/>
      <c r="K19" s="11"/>
      <c r="L19" s="8"/>
    </row>
    <row r="20" spans="1:12" ht="12" customHeight="1">
      <c r="A20" s="8"/>
      <c r="B20" s="8" t="s">
        <v>71</v>
      </c>
      <c r="C20" s="8"/>
      <c r="D20" s="8"/>
      <c r="E20" s="8"/>
      <c r="L20" s="8"/>
    </row>
    <row r="21" spans="1:12" ht="12.75">
      <c r="A21" s="8"/>
      <c r="B21" s="8"/>
      <c r="C21" s="8"/>
      <c r="D21" s="8"/>
      <c r="E21" s="8"/>
      <c r="F21" s="11"/>
      <c r="G21" s="11"/>
      <c r="H21" s="11"/>
      <c r="I21" s="11"/>
      <c r="J21" s="11"/>
      <c r="K21" s="11"/>
      <c r="L21" s="8"/>
    </row>
    <row r="22" spans="1:12" ht="12.75">
      <c r="A22" s="8" t="s">
        <v>47</v>
      </c>
      <c r="B22" s="8"/>
      <c r="C22" s="8"/>
      <c r="D22" s="8"/>
      <c r="E22" s="8"/>
      <c r="F22" s="11"/>
      <c r="G22" s="8"/>
      <c r="H22" s="8"/>
      <c r="I22" s="8"/>
      <c r="J22" s="8"/>
      <c r="K22" s="8"/>
      <c r="L22" s="8"/>
    </row>
    <row r="23" spans="1:12" ht="12.75">
      <c r="A23" s="8"/>
      <c r="B23" s="8" t="s">
        <v>8</v>
      </c>
      <c r="C23" s="8"/>
      <c r="D23" s="8"/>
      <c r="E23" s="8"/>
      <c r="F23" s="11">
        <f aca="true" t="shared" si="4" ref="F23:K23">F50</f>
        <v>17.620000000000005</v>
      </c>
      <c r="G23" s="12">
        <f t="shared" si="4"/>
        <v>8.305169333332742</v>
      </c>
      <c r="H23" s="12">
        <f t="shared" si="4"/>
        <v>7.841607352888673</v>
      </c>
      <c r="I23" s="12">
        <f t="shared" si="4"/>
        <v>9.343616470008556</v>
      </c>
      <c r="J23" s="12">
        <f t="shared" si="4"/>
        <v>9.398000975806667</v>
      </c>
      <c r="K23" s="12">
        <f t="shared" si="4"/>
        <v>4.739842974531712</v>
      </c>
      <c r="L23" s="8"/>
    </row>
    <row r="24" spans="1:12" ht="12.75">
      <c r="A24" s="8"/>
      <c r="B24" s="8" t="s">
        <v>99</v>
      </c>
      <c r="C24" s="8"/>
      <c r="D24" s="8"/>
      <c r="E24" s="8"/>
      <c r="F24" s="11">
        <f>(40/360)*F7</f>
        <v>506.88888888888886</v>
      </c>
      <c r="G24" s="11">
        <f>F24*(1+G6)</f>
        <v>552.5088888888889</v>
      </c>
      <c r="H24" s="11">
        <f>G24*(1+H6)</f>
        <v>596.7096</v>
      </c>
      <c r="I24" s="11">
        <f>H24*(1+I6)</f>
        <v>638.479272</v>
      </c>
      <c r="J24" s="11">
        <f>I24*(1+J6)</f>
        <v>676.7880283200001</v>
      </c>
      <c r="K24" s="11">
        <f>J24*(1+K6)</f>
        <v>717.3953100192001</v>
      </c>
      <c r="L24" s="8"/>
    </row>
    <row r="25" spans="1:12" ht="12.75">
      <c r="A25" s="8"/>
      <c r="B25" s="8" t="s">
        <v>100</v>
      </c>
      <c r="C25" s="8"/>
      <c r="D25" s="8"/>
      <c r="E25" s="8"/>
      <c r="F25" s="11">
        <f>0.15*F7</f>
        <v>684.3</v>
      </c>
      <c r="G25" s="11">
        <f>F25*(1+G6)</f>
        <v>745.8870000000001</v>
      </c>
      <c r="H25" s="11">
        <f>G25*(1+H6)</f>
        <v>805.5579600000001</v>
      </c>
      <c r="I25" s="11">
        <f>H25*(1+I6)</f>
        <v>861.9470172000001</v>
      </c>
      <c r="J25" s="11">
        <f>I25*(1+J6)</f>
        <v>913.6638382320002</v>
      </c>
      <c r="K25" s="11">
        <f>J25*(1+K6)</f>
        <v>968.4836685259203</v>
      </c>
      <c r="L25" s="8"/>
    </row>
    <row r="26" spans="1:12" ht="12.75">
      <c r="A26" s="8"/>
      <c r="B26" s="8" t="s">
        <v>82</v>
      </c>
      <c r="C26" s="8"/>
      <c r="D26" s="8"/>
      <c r="E26" s="8"/>
      <c r="F26" s="11">
        <v>3884</v>
      </c>
      <c r="G26" s="12">
        <f>F26*(1+G6)</f>
        <v>4233.56</v>
      </c>
      <c r="H26" s="12">
        <f>G26*(1+H6)</f>
        <v>4572.2448</v>
      </c>
      <c r="I26" s="12">
        <f>H26*(1+I6)</f>
        <v>4892.301936000001</v>
      </c>
      <c r="J26" s="12">
        <f>I26*(1+J6)</f>
        <v>5185.8400521600015</v>
      </c>
      <c r="K26" s="12">
        <f>J26*(1+K6)</f>
        <v>5496.990455289602</v>
      </c>
      <c r="L26" s="8"/>
    </row>
    <row r="27" spans="1:12" ht="12.75">
      <c r="A27" s="8"/>
      <c r="B27" s="8" t="s">
        <v>81</v>
      </c>
      <c r="C27" s="8"/>
      <c r="D27" s="8"/>
      <c r="E27" s="8"/>
      <c r="F27" s="11">
        <v>-1020</v>
      </c>
      <c r="G27" s="12">
        <f>F27-G40</f>
        <v>-1358.6848</v>
      </c>
      <c r="H27" s="12">
        <f>G27-H40</f>
        <v>-1724.464384</v>
      </c>
      <c r="I27" s="12">
        <f>H27-I40</f>
        <v>-2115.84853888</v>
      </c>
      <c r="J27" s="12">
        <f>I27-J40</f>
        <v>-2530.7157430528</v>
      </c>
      <c r="K27" s="12">
        <f>J27-K40</f>
        <v>-2970.474979475968</v>
      </c>
      <c r="L27" s="8"/>
    </row>
    <row r="28" spans="1:12" ht="12.75">
      <c r="A28" s="8"/>
      <c r="B28" s="8" t="s">
        <v>10</v>
      </c>
      <c r="C28" s="8"/>
      <c r="D28" s="8"/>
      <c r="E28" s="8"/>
      <c r="F28" s="11">
        <v>41</v>
      </c>
      <c r="G28" s="12">
        <f>F28*(1+G6)</f>
        <v>44.690000000000005</v>
      </c>
      <c r="H28" s="12">
        <f>G28*(1+H6)</f>
        <v>48.26520000000001</v>
      </c>
      <c r="I28" s="12">
        <f>H28*(1+I6)</f>
        <v>51.64376400000001</v>
      </c>
      <c r="J28" s="12">
        <f>I28*(1+J6)</f>
        <v>54.742389840000016</v>
      </c>
      <c r="K28" s="12">
        <f>J28*(1+K6)</f>
        <v>58.02693323040002</v>
      </c>
      <c r="L28" s="8"/>
    </row>
    <row r="29" spans="1:12" ht="12.75">
      <c r="A29" s="8"/>
      <c r="B29" s="8" t="s">
        <v>13</v>
      </c>
      <c r="C29" s="8"/>
      <c r="D29" s="8"/>
      <c r="E29" s="8"/>
      <c r="F29" s="11">
        <f aca="true" t="shared" si="5" ref="F29:K29">SUM(F23:F28)</f>
        <v>4113.808888888889</v>
      </c>
      <c r="G29" s="11">
        <f t="shared" si="5"/>
        <v>4226.266258222222</v>
      </c>
      <c r="H29" s="11">
        <f t="shared" si="5"/>
        <v>4306.154783352889</v>
      </c>
      <c r="I29" s="11">
        <f t="shared" si="5"/>
        <v>4337.86706679001</v>
      </c>
      <c r="J29" s="11">
        <f t="shared" si="5"/>
        <v>4309.716566475009</v>
      </c>
      <c r="K29" s="11">
        <f t="shared" si="5"/>
        <v>4275.161230563686</v>
      </c>
      <c r="L29" s="8"/>
    </row>
    <row r="30" spans="1:12" ht="12.75">
      <c r="A30" s="8"/>
      <c r="L30" s="8"/>
    </row>
    <row r="31" spans="1:12" ht="12.75">
      <c r="A31" s="8"/>
      <c r="B31" s="8" t="s">
        <v>101</v>
      </c>
      <c r="C31" s="8"/>
      <c r="D31" s="8"/>
      <c r="E31" s="8"/>
      <c r="F31" s="11">
        <f>(18/360)*F7</f>
        <v>228.10000000000002</v>
      </c>
      <c r="G31" s="11">
        <f>F31*(1+G6)</f>
        <v>248.62900000000005</v>
      </c>
      <c r="H31" s="11">
        <f>G31*(1+H6)</f>
        <v>268.51932000000005</v>
      </c>
      <c r="I31" s="11">
        <f>H31*(1+I6)</f>
        <v>287.3156724000001</v>
      </c>
      <c r="J31" s="11">
        <f>I31*(1+J6)</f>
        <v>304.5546127440001</v>
      </c>
      <c r="K31" s="11">
        <f>J31*(1+K6)</f>
        <v>322.8278895086401</v>
      </c>
      <c r="L31" s="8"/>
    </row>
    <row r="32" spans="1:12" ht="12.75">
      <c r="A32" s="8"/>
      <c r="B32" s="8" t="s">
        <v>14</v>
      </c>
      <c r="C32" s="8"/>
      <c r="D32" s="8"/>
      <c r="E32" s="8"/>
      <c r="F32" s="11">
        <f>0.1*0.3*(F29-F23)</f>
        <v>122.88566666666667</v>
      </c>
      <c r="G32" s="11">
        <f>0.1*0.3*(SUM(G24:G28))</f>
        <v>126.53883266666668</v>
      </c>
      <c r="H32" s="11">
        <f>0.1*0.3*(SUM(H24:H28))</f>
        <v>128.94939528</v>
      </c>
      <c r="I32" s="11">
        <f>0.1*0.3*(SUM(I24:I28))</f>
        <v>129.85570350960003</v>
      </c>
      <c r="J32" s="11">
        <f>0.1*0.3*(SUM(J24:J28))</f>
        <v>129.00955696497607</v>
      </c>
      <c r="K32" s="11">
        <f>0.1*0.3*(SUM(K24:K28))</f>
        <v>128.11264162767463</v>
      </c>
      <c r="L32" s="8"/>
    </row>
    <row r="33" spans="1:12" ht="12.75">
      <c r="A33" s="8"/>
      <c r="B33" s="8" t="s">
        <v>15</v>
      </c>
      <c r="C33" s="8"/>
      <c r="D33" s="8"/>
      <c r="E33" s="8"/>
      <c r="F33" s="11">
        <f>0.3*(F29-F23)-F32</f>
        <v>1105.971</v>
      </c>
      <c r="G33" s="11">
        <f>0.3*SUM(G24:G28)-G32</f>
        <v>1138.849494</v>
      </c>
      <c r="H33" s="11">
        <f>0.3*SUM(H24:H28)-H32</f>
        <v>1160.5445575200001</v>
      </c>
      <c r="I33" s="11">
        <f>0.3*SUM(I24:I28)-I32</f>
        <v>1168.7013315864</v>
      </c>
      <c r="J33" s="11">
        <f>0.3*SUM(J24:J28)-J32</f>
        <v>1161.0860126847845</v>
      </c>
      <c r="K33" s="11">
        <f>0.3*SUM(K24:K28)-K32</f>
        <v>1153.0137746490718</v>
      </c>
      <c r="L33" s="8"/>
    </row>
    <row r="34" spans="1:12" ht="12.75">
      <c r="A34" s="8"/>
      <c r="B34" s="8" t="s">
        <v>76</v>
      </c>
      <c r="C34" s="8"/>
      <c r="D34" s="8"/>
      <c r="E34" s="8"/>
      <c r="F34" s="11">
        <v>1000</v>
      </c>
      <c r="G34" s="11">
        <v>1000</v>
      </c>
      <c r="H34" s="11">
        <v>1000</v>
      </c>
      <c r="I34" s="11">
        <v>1000</v>
      </c>
      <c r="J34" s="11">
        <v>1000</v>
      </c>
      <c r="K34" s="11">
        <v>1000</v>
      </c>
      <c r="L34" s="8"/>
    </row>
    <row r="35" spans="1:12" ht="12.75">
      <c r="A35" s="8"/>
      <c r="B35" s="8" t="s">
        <v>77</v>
      </c>
      <c r="C35" s="8"/>
      <c r="D35" s="8"/>
      <c r="E35" s="8"/>
      <c r="F35" s="11">
        <f aca="true" t="shared" si="6" ref="F35:K35">F18</f>
        <v>1656.9</v>
      </c>
      <c r="G35" s="12">
        <f t="shared" si="6"/>
        <v>1712.2967093333332</v>
      </c>
      <c r="H35" s="12">
        <f t="shared" si="6"/>
        <v>1748.1892883306664</v>
      </c>
      <c r="I35" s="12">
        <f t="shared" si="6"/>
        <v>1752.0421370717863</v>
      </c>
      <c r="J35" s="12">
        <f t="shared" si="6"/>
        <v>1715.1141618590245</v>
      </c>
      <c r="K35" s="12">
        <f t="shared" si="6"/>
        <v>1671.2547025560762</v>
      </c>
      <c r="L35" s="8"/>
    </row>
    <row r="36" spans="1:12" ht="12.75">
      <c r="A36" s="8"/>
      <c r="B36" s="8" t="s">
        <v>16</v>
      </c>
      <c r="C36" s="8"/>
      <c r="D36" s="8"/>
      <c r="E36" s="8"/>
      <c r="F36" s="11">
        <f aca="true" t="shared" si="7" ref="F36:K36">SUM(F31:F35)</f>
        <v>4113.856666666667</v>
      </c>
      <c r="G36" s="12">
        <f t="shared" si="7"/>
        <v>4226.314036</v>
      </c>
      <c r="H36" s="12">
        <f t="shared" si="7"/>
        <v>4306.202561130667</v>
      </c>
      <c r="I36" s="12">
        <f t="shared" si="7"/>
        <v>4337.9148445677865</v>
      </c>
      <c r="J36" s="12">
        <f t="shared" si="7"/>
        <v>4309.764344252785</v>
      </c>
      <c r="K36" s="12">
        <f t="shared" si="7"/>
        <v>4275.209008341462</v>
      </c>
      <c r="L36" s="8"/>
    </row>
    <row r="37" spans="1:12" ht="12.75">
      <c r="A37" s="8"/>
      <c r="B37" s="8"/>
      <c r="C37" s="8"/>
      <c r="D37" s="8"/>
      <c r="E37" s="8"/>
      <c r="F37" s="8"/>
      <c r="G37" s="8"/>
      <c r="H37" s="11"/>
      <c r="I37" s="8"/>
      <c r="J37" s="8"/>
      <c r="K37" s="8"/>
      <c r="L37" s="8"/>
    </row>
    <row r="38" spans="1:12" ht="12.75">
      <c r="A38" s="8" t="s">
        <v>68</v>
      </c>
      <c r="L38" s="8"/>
    </row>
    <row r="39" spans="2:11" ht="12.75">
      <c r="B39" t="s">
        <v>7</v>
      </c>
      <c r="F39" s="2">
        <f aca="true" t="shared" si="8" ref="F39:K39">F13</f>
        <v>585.9</v>
      </c>
      <c r="G39" s="2">
        <f t="shared" si="8"/>
        <v>655.3967093333332</v>
      </c>
      <c r="H39" s="2">
        <f t="shared" si="8"/>
        <v>710.8925789973334</v>
      </c>
      <c r="I39" s="2">
        <f t="shared" si="8"/>
        <v>763.8528487411199</v>
      </c>
      <c r="J39" s="2">
        <f t="shared" si="8"/>
        <v>813.0720247872384</v>
      </c>
      <c r="K39" s="2">
        <f t="shared" si="8"/>
        <v>866.1405406970518</v>
      </c>
    </row>
    <row r="40" spans="2:11" ht="12.75">
      <c r="B40" t="s">
        <v>69</v>
      </c>
      <c r="F40" s="11">
        <f aca="true" t="shared" si="9" ref="F40:K40">0.08*F26</f>
        <v>310.72</v>
      </c>
      <c r="G40" s="11">
        <f t="shared" si="9"/>
        <v>338.68480000000005</v>
      </c>
      <c r="H40" s="11">
        <f t="shared" si="9"/>
        <v>365.77958400000006</v>
      </c>
      <c r="I40" s="11">
        <f t="shared" si="9"/>
        <v>391.3841548800001</v>
      </c>
      <c r="J40" s="11">
        <f t="shared" si="9"/>
        <v>414.86720417280014</v>
      </c>
      <c r="K40" s="11">
        <f t="shared" si="9"/>
        <v>439.7592364231682</v>
      </c>
    </row>
    <row r="41" spans="2:11" ht="12.75">
      <c r="B41" t="s">
        <v>102</v>
      </c>
      <c r="F41" s="2">
        <v>-14</v>
      </c>
      <c r="G41" s="2">
        <f aca="true" t="shared" si="10" ref="G41:K42">F24-G24</f>
        <v>-45.62000000000006</v>
      </c>
      <c r="H41" s="2">
        <f t="shared" si="10"/>
        <v>-44.200711111111104</v>
      </c>
      <c r="I41" s="2">
        <f t="shared" si="10"/>
        <v>-41.769672000000014</v>
      </c>
      <c r="J41" s="2">
        <f t="shared" si="10"/>
        <v>-38.30875632000004</v>
      </c>
      <c r="K41" s="2">
        <f t="shared" si="10"/>
        <v>-40.60728169920003</v>
      </c>
    </row>
    <row r="42" spans="2:11" ht="12.75">
      <c r="B42" t="s">
        <v>103</v>
      </c>
      <c r="F42" s="2">
        <v>-40</v>
      </c>
      <c r="G42" s="2">
        <f t="shared" si="10"/>
        <v>-61.5870000000001</v>
      </c>
      <c r="H42" s="2">
        <f t="shared" si="10"/>
        <v>-59.670960000000036</v>
      </c>
      <c r="I42" s="2">
        <f t="shared" si="10"/>
        <v>-56.389057200000025</v>
      </c>
      <c r="J42" s="2">
        <f t="shared" si="10"/>
        <v>-51.7168210320001</v>
      </c>
      <c r="K42" s="2">
        <f t="shared" si="10"/>
        <v>-54.81983029392006</v>
      </c>
    </row>
    <row r="43" spans="2:11" ht="12.75">
      <c r="B43" t="s">
        <v>104</v>
      </c>
      <c r="F43" s="2">
        <v>8</v>
      </c>
      <c r="G43" s="2">
        <f>G31-F31</f>
        <v>20.529000000000025</v>
      </c>
      <c r="H43" s="2">
        <f>H31-G31</f>
        <v>19.890320000000003</v>
      </c>
      <c r="I43" s="2">
        <f>I31-H31</f>
        <v>18.796352400000046</v>
      </c>
      <c r="J43" s="2">
        <f>J31-I31</f>
        <v>17.238940344000014</v>
      </c>
      <c r="K43" s="2">
        <f>K31-J31</f>
        <v>18.273276764640002</v>
      </c>
    </row>
    <row r="44" spans="2:11" ht="12.75">
      <c r="B44" s="8" t="s">
        <v>29</v>
      </c>
      <c r="C44" s="8"/>
      <c r="D44" s="8"/>
      <c r="E44" s="8"/>
      <c r="F44" s="11">
        <v>-370</v>
      </c>
      <c r="G44" s="11">
        <f>-(G26-F26)</f>
        <v>-349.5600000000004</v>
      </c>
      <c r="H44" s="11">
        <f>-(H26-G26)</f>
        <v>-338.6848</v>
      </c>
      <c r="I44" s="11">
        <f>-(I26-H26)</f>
        <v>-320.05713600000036</v>
      </c>
      <c r="J44" s="11">
        <f>-(J26-I26)</f>
        <v>-293.53811616000075</v>
      </c>
      <c r="K44" s="11">
        <f>-(K26-J26)</f>
        <v>-311.1504031296008</v>
      </c>
    </row>
    <row r="45" spans="2:11" ht="12.75">
      <c r="B45" s="8" t="s">
        <v>75</v>
      </c>
      <c r="C45" s="8"/>
      <c r="D45" s="8"/>
      <c r="E45" s="8"/>
      <c r="F45" s="11">
        <v>-4</v>
      </c>
      <c r="G45" s="11">
        <f>-(G28-F28)</f>
        <v>-3.690000000000005</v>
      </c>
      <c r="H45" s="11">
        <f>-(H28-G28)</f>
        <v>-3.5752000000000024</v>
      </c>
      <c r="I45" s="11">
        <f>-(I28-H28)</f>
        <v>-3.3785640000000043</v>
      </c>
      <c r="J45" s="11">
        <f>-(J28-I28)</f>
        <v>-3.098625840000004</v>
      </c>
      <c r="K45" s="11">
        <f>-(K28-J28)</f>
        <v>-3.284543390400003</v>
      </c>
    </row>
    <row r="46" spans="2:11" ht="12.75">
      <c r="B46" s="8" t="s">
        <v>70</v>
      </c>
      <c r="F46" s="11">
        <v>116</v>
      </c>
      <c r="G46" s="2">
        <f>(G32+G33)-(F32+F33)</f>
        <v>36.5316600000001</v>
      </c>
      <c r="H46" s="2">
        <f>(H32+H33)-(G32+G33)</f>
        <v>24.105626133333544</v>
      </c>
      <c r="I46" s="2">
        <f>(I32+I33)-(H32+H33)</f>
        <v>9.063082295999948</v>
      </c>
      <c r="J46" s="2">
        <f>(J32+J33)-(I32+I33)</f>
        <v>-8.461465446239572</v>
      </c>
      <c r="K46" s="2">
        <f>(K32+K33)-(J32+J33)</f>
        <v>-8.969153373014024</v>
      </c>
    </row>
    <row r="47" spans="2:11" ht="12.75">
      <c r="B47" s="8" t="s">
        <v>80</v>
      </c>
      <c r="F47" s="11">
        <f aca="true" t="shared" si="11" ref="F47:K47">F17</f>
        <v>-650</v>
      </c>
      <c r="G47" s="11">
        <f t="shared" si="11"/>
        <v>-600</v>
      </c>
      <c r="H47" s="11">
        <f t="shared" si="11"/>
        <v>-675</v>
      </c>
      <c r="I47" s="11">
        <f t="shared" si="11"/>
        <v>-760</v>
      </c>
      <c r="J47" s="11">
        <f t="shared" si="11"/>
        <v>-850</v>
      </c>
      <c r="K47" s="11">
        <f t="shared" si="11"/>
        <v>-910</v>
      </c>
    </row>
    <row r="48" spans="2:11" ht="12.75">
      <c r="B48" s="8" t="s">
        <v>72</v>
      </c>
      <c r="F48" s="2">
        <f aca="true" t="shared" si="12" ref="F48:K48">SUM(F39:F47)</f>
        <v>-57.379999999999995</v>
      </c>
      <c r="G48" s="2">
        <f t="shared" si="12"/>
        <v>-9.314830666667262</v>
      </c>
      <c r="H48" s="2">
        <f t="shared" si="12"/>
        <v>-0.4635619804440694</v>
      </c>
      <c r="I48" s="2">
        <f t="shared" si="12"/>
        <v>1.5020091171198828</v>
      </c>
      <c r="J48" s="2">
        <f t="shared" si="12"/>
        <v>0.054384505798111604</v>
      </c>
      <c r="K48" s="2">
        <f t="shared" si="12"/>
        <v>-4.6581580012749555</v>
      </c>
    </row>
    <row r="49" spans="2:11" ht="12.75">
      <c r="B49" s="8" t="s">
        <v>73</v>
      </c>
      <c r="F49" s="11">
        <v>75</v>
      </c>
      <c r="G49" s="2">
        <f>F23</f>
        <v>17.620000000000005</v>
      </c>
      <c r="H49" s="2">
        <f>G23</f>
        <v>8.305169333332742</v>
      </c>
      <c r="I49" s="2">
        <f>H23</f>
        <v>7.841607352888673</v>
      </c>
      <c r="J49" s="2">
        <f>I23</f>
        <v>9.343616470008556</v>
      </c>
      <c r="K49" s="2">
        <f>J23</f>
        <v>9.398000975806667</v>
      </c>
    </row>
    <row r="50" spans="2:11" ht="12.75">
      <c r="B50" s="8" t="s">
        <v>74</v>
      </c>
      <c r="F50" s="2">
        <f aca="true" t="shared" si="13" ref="F50:K50">F49+F48</f>
        <v>17.620000000000005</v>
      </c>
      <c r="G50" s="2">
        <f t="shared" si="13"/>
        <v>8.305169333332742</v>
      </c>
      <c r="H50" s="2">
        <f t="shared" si="13"/>
        <v>7.841607352888673</v>
      </c>
      <c r="I50" s="2">
        <f t="shared" si="13"/>
        <v>9.343616470008556</v>
      </c>
      <c r="J50" s="2">
        <f t="shared" si="13"/>
        <v>9.398000975806667</v>
      </c>
      <c r="K50" s="2">
        <f t="shared" si="13"/>
        <v>4.739842974531712</v>
      </c>
    </row>
    <row r="52" spans="2:11" ht="12.75">
      <c r="B52" t="s">
        <v>83</v>
      </c>
      <c r="D52" s="16">
        <v>0.075</v>
      </c>
      <c r="G52">
        <f>G4</f>
        <v>2002</v>
      </c>
      <c r="H52">
        <f>G52+1</f>
        <v>2003</v>
      </c>
      <c r="I52">
        <f>H52+1</f>
        <v>2004</v>
      </c>
      <c r="J52">
        <f>I52+1</f>
        <v>2005</v>
      </c>
      <c r="K52">
        <f>J52+1</f>
        <v>2006</v>
      </c>
    </row>
    <row r="53" spans="2:11" ht="12.75">
      <c r="B53" t="s">
        <v>84</v>
      </c>
      <c r="D53" s="16">
        <v>0.38</v>
      </c>
      <c r="F53" s="15" t="s">
        <v>127</v>
      </c>
      <c r="G53" s="22"/>
      <c r="H53" s="23"/>
      <c r="I53" s="23"/>
      <c r="J53" s="23"/>
      <c r="K53" s="24"/>
    </row>
    <row r="54" spans="2:11" ht="12.75">
      <c r="B54" t="s">
        <v>85</v>
      </c>
      <c r="D54" s="16">
        <f>D52*(1-D53)</f>
        <v>0.0465</v>
      </c>
      <c r="F54" s="15" t="s">
        <v>93</v>
      </c>
      <c r="G54" s="25"/>
      <c r="H54" s="26"/>
      <c r="I54" s="26"/>
      <c r="J54" s="26"/>
      <c r="K54" s="27"/>
    </row>
    <row r="55" spans="2:11" ht="12.75">
      <c r="B55" t="s">
        <v>87</v>
      </c>
      <c r="D55" s="16">
        <v>0.045</v>
      </c>
      <c r="F55" s="15" t="s">
        <v>94</v>
      </c>
      <c r="G55" s="25"/>
      <c r="H55" s="26"/>
      <c r="I55" s="26"/>
      <c r="J55" s="26"/>
      <c r="K55" s="27"/>
    </row>
    <row r="56" spans="2:11" ht="12.75">
      <c r="B56" t="s">
        <v>88</v>
      </c>
      <c r="D56" s="16">
        <v>0.05</v>
      </c>
      <c r="F56" s="15" t="s">
        <v>95</v>
      </c>
      <c r="G56" s="25"/>
      <c r="H56" s="26"/>
      <c r="I56" s="26"/>
      <c r="J56" s="26"/>
      <c r="K56" s="27"/>
    </row>
    <row r="57" spans="2:11" ht="12.75">
      <c r="B57" t="s">
        <v>86</v>
      </c>
      <c r="D57" s="17">
        <v>0.85</v>
      </c>
      <c r="F57" s="15" t="s">
        <v>116</v>
      </c>
      <c r="G57" s="25"/>
      <c r="H57" s="26"/>
      <c r="I57" s="26"/>
      <c r="J57" s="26"/>
      <c r="K57" s="27"/>
    </row>
    <row r="58" spans="2:11" ht="12.75">
      <c r="B58" t="s">
        <v>89</v>
      </c>
      <c r="D58" s="19">
        <v>0.03</v>
      </c>
      <c r="F58" s="15" t="s">
        <v>138</v>
      </c>
      <c r="G58" s="28"/>
      <c r="H58" s="29"/>
      <c r="I58" s="29"/>
      <c r="J58" s="29"/>
      <c r="K58" s="30"/>
    </row>
    <row r="59" spans="2:11" ht="12.75">
      <c r="B59" t="s">
        <v>90</v>
      </c>
      <c r="D59" s="16">
        <f>D55+D57*D56+D58</f>
        <v>0.1175</v>
      </c>
      <c r="F59" s="15" t="s">
        <v>107</v>
      </c>
      <c r="G59" s="31"/>
      <c r="H59" s="32"/>
      <c r="I59" s="32"/>
      <c r="J59" s="32"/>
      <c r="K59" s="33"/>
    </row>
    <row r="60" spans="2:4" ht="12.75">
      <c r="B60" t="s">
        <v>91</v>
      </c>
      <c r="D60" s="16">
        <v>0.3</v>
      </c>
    </row>
    <row r="61" spans="2:9" ht="12.75">
      <c r="B61" s="68" t="s">
        <v>92</v>
      </c>
      <c r="C61" s="68"/>
      <c r="D61" s="69">
        <f>D60*D54+(1-D60)*D59</f>
        <v>0.0962</v>
      </c>
      <c r="F61" s="15" t="s">
        <v>111</v>
      </c>
      <c r="H61" s="41" t="s">
        <v>115</v>
      </c>
      <c r="I61" t="s">
        <v>108</v>
      </c>
    </row>
    <row r="62" spans="2:4" ht="12.75">
      <c r="B62" s="15" t="s">
        <v>136</v>
      </c>
      <c r="D62" s="16">
        <v>0.06</v>
      </c>
    </row>
    <row r="63" spans="4:11" ht="12.75">
      <c r="D63" s="42"/>
      <c r="F63" s="15" t="s">
        <v>118</v>
      </c>
      <c r="G63" s="2"/>
      <c r="H63" s="2"/>
      <c r="I63" s="2" t="s">
        <v>137</v>
      </c>
      <c r="K63" s="37"/>
    </row>
    <row r="64" spans="9:11" ht="12.75">
      <c r="I64" t="s">
        <v>109</v>
      </c>
      <c r="K64" s="38">
        <v>7.3</v>
      </c>
    </row>
    <row r="65" spans="2:11" ht="12.75">
      <c r="B65" s="42" t="s">
        <v>128</v>
      </c>
      <c r="I65" t="s">
        <v>96</v>
      </c>
      <c r="K65" s="39"/>
    </row>
    <row r="66" spans="2:11" ht="12.75">
      <c r="B66" s="42" t="s">
        <v>129</v>
      </c>
      <c r="K66" s="40"/>
    </row>
    <row r="67" spans="2:11" ht="12.75">
      <c r="B67" s="42" t="s">
        <v>130</v>
      </c>
      <c r="F67" t="s">
        <v>107</v>
      </c>
      <c r="G67" s="34"/>
      <c r="H67" s="35"/>
      <c r="I67" s="35"/>
      <c r="J67" s="35"/>
      <c r="K67" s="36"/>
    </row>
    <row r="68" ht="12.75">
      <c r="B68" s="42" t="s">
        <v>131</v>
      </c>
    </row>
    <row r="69" spans="2:9" ht="12.75">
      <c r="B69" s="42" t="s">
        <v>133</v>
      </c>
      <c r="F69" s="15" t="s">
        <v>111</v>
      </c>
      <c r="H69" s="41" t="s">
        <v>115</v>
      </c>
      <c r="I69" t="s">
        <v>117</v>
      </c>
    </row>
    <row r="70" ht="12.75">
      <c r="B70" s="42" t="s">
        <v>132</v>
      </c>
    </row>
  </sheetData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1" sqref="A1"/>
    </sheetView>
  </sheetViews>
  <sheetFormatPr defaultColWidth="9.140625" defaultRowHeight="12.75"/>
  <sheetData>
    <row r="1" spans="1:8" ht="18">
      <c r="A1" s="67"/>
      <c r="B1" s="67"/>
      <c r="C1" s="67"/>
      <c r="D1" s="67"/>
      <c r="E1" s="67"/>
      <c r="F1" s="67"/>
      <c r="G1" s="67"/>
      <c r="H1" s="6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2003-09-22T14:15:24Z</cp:lastPrinted>
  <dcterms:created xsi:type="dcterms:W3CDTF">2001-01-29T20:57:39Z</dcterms:created>
  <dcterms:modified xsi:type="dcterms:W3CDTF">2003-10-22T04:44:07Z</dcterms:modified>
  <cp:category/>
  <cp:version/>
  <cp:contentType/>
  <cp:contentStatus/>
</cp:coreProperties>
</file>