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580" windowHeight="3735" activeTab="1"/>
  </bookViews>
  <sheets>
    <sheet name="WEEK 1" sheetId="1" r:id="rId1"/>
    <sheet name="WEEK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<sst xmlns="http://schemas.openxmlformats.org/spreadsheetml/2006/main" count="294" uniqueCount="143">
  <si>
    <t>Rondo, Inc. Balance Sheet as of December 31,</t>
  </si>
  <si>
    <t>Cash</t>
  </si>
  <si>
    <t>Accounts Receivable</t>
  </si>
  <si>
    <t xml:space="preserve">Inventory </t>
  </si>
  <si>
    <t>Total Assets</t>
  </si>
  <si>
    <t>Accounts Payable</t>
  </si>
  <si>
    <t>Current Portion of Bank Loan</t>
  </si>
  <si>
    <t>Accruals</t>
  </si>
  <si>
    <t>Bank Loan (6%)</t>
  </si>
  <si>
    <t>Mortgage Bond (8%)</t>
  </si>
  <si>
    <t>Total Liabilities</t>
  </si>
  <si>
    <t>Common Stock</t>
  </si>
  <si>
    <t>Retained Earnings</t>
  </si>
  <si>
    <t xml:space="preserve">Rondo, Inc. Income Statement for the Year ended December 31, </t>
  </si>
  <si>
    <t>Sales</t>
  </si>
  <si>
    <t>Cost of Goods Sold</t>
  </si>
  <si>
    <t>Gross Profit</t>
  </si>
  <si>
    <t>Depreciation</t>
  </si>
  <si>
    <t>Interest Expense</t>
  </si>
  <si>
    <t>Income Taxes (at 40%)</t>
  </si>
  <si>
    <t>Earnings (Net Income) per Share</t>
  </si>
  <si>
    <t>Dividends Paid</t>
  </si>
  <si>
    <t>Increase in Retained Earnings</t>
  </si>
  <si>
    <t>Equipment (net)</t>
  </si>
  <si>
    <t>Property and Plant (net)</t>
  </si>
  <si>
    <t>Ratio</t>
  </si>
  <si>
    <t>Industry</t>
  </si>
  <si>
    <t>Average</t>
  </si>
  <si>
    <t>Current</t>
  </si>
  <si>
    <t xml:space="preserve">Current Assets </t>
  </si>
  <si>
    <t>Current Liabilities</t>
  </si>
  <si>
    <t>Quick (Acid Test)</t>
  </si>
  <si>
    <t>Week One Assignment</t>
  </si>
  <si>
    <t>Horizontal Analysis:</t>
  </si>
  <si>
    <t>Vertical Analysis</t>
  </si>
  <si>
    <t>Inventory Turnover</t>
  </si>
  <si>
    <t>Days to Sell Inventory</t>
  </si>
  <si>
    <t>(based on sales)</t>
  </si>
  <si>
    <t>Days Sales Outstanding</t>
  </si>
  <si>
    <t>(based on cost of goods sold)</t>
  </si>
  <si>
    <t>Fixed Assets Turnover</t>
  </si>
  <si>
    <t>Total Asset Turnover</t>
  </si>
  <si>
    <t>Inventory</t>
  </si>
  <si>
    <t>Sales/360</t>
  </si>
  <si>
    <t>Cost of Goods Sold/360</t>
  </si>
  <si>
    <t>Receivables</t>
  </si>
  <si>
    <t>Net Fixed Assets</t>
  </si>
  <si>
    <t>Gross Profit Margin</t>
  </si>
  <si>
    <t>Cash as a % of Sales</t>
  </si>
  <si>
    <t>Earnings per Share</t>
  </si>
  <si>
    <t>Dividends per share</t>
  </si>
  <si>
    <t>Current Assets</t>
  </si>
  <si>
    <t xml:space="preserve">     Total Current Assets</t>
  </si>
  <si>
    <t>PPE</t>
  </si>
  <si>
    <t xml:space="preserve">     Total PP&amp;E</t>
  </si>
  <si>
    <t>ASSETS</t>
  </si>
  <si>
    <t>TOTAL ASSETS</t>
  </si>
  <si>
    <t>LIABILITIES</t>
  </si>
  <si>
    <t xml:space="preserve">     Total Current Liabilities</t>
  </si>
  <si>
    <t>Long-Term Debt</t>
  </si>
  <si>
    <t xml:space="preserve">     Total Long-Term Debt</t>
  </si>
  <si>
    <t>Equity</t>
  </si>
  <si>
    <t xml:space="preserve">     Total Equity</t>
  </si>
  <si>
    <t>TOTAL LIABILITIES &amp; EQUITY</t>
  </si>
  <si>
    <t xml:space="preserve">     Earnings Before Interest and Taxes</t>
  </si>
  <si>
    <t xml:space="preserve">     Earnings Before Tax</t>
  </si>
  <si>
    <t>NET INCOME</t>
  </si>
  <si>
    <t>LIQUIDITY RATIOS</t>
  </si>
  <si>
    <t>ASSET MANAGEMENT</t>
  </si>
  <si>
    <t>DEBT MANAGEMENT RATIOS</t>
  </si>
  <si>
    <t>PROFITABILITY RATIOS</t>
  </si>
  <si>
    <t>MARKET VALUE RATIOS</t>
  </si>
  <si>
    <t>OTHER RATIOS</t>
  </si>
  <si>
    <t>Debt Ratio</t>
  </si>
  <si>
    <t>Total Debt</t>
  </si>
  <si>
    <t>Debt/Equity Ratio</t>
  </si>
  <si>
    <t>Stockholder's Equity</t>
  </si>
  <si>
    <t>Times Interest Earned</t>
  </si>
  <si>
    <t>EBIT</t>
  </si>
  <si>
    <t>Ability to Service Debt</t>
  </si>
  <si>
    <t>EBITDA + Lease Payments</t>
  </si>
  <si>
    <t>Shares Outstanding</t>
  </si>
  <si>
    <t>Notes to Rondo's Balance Sheet</t>
  </si>
  <si>
    <t>Bank Loan Information</t>
  </si>
  <si>
    <t>Original Amount Borrowed</t>
  </si>
  <si>
    <t>Current Amount Outstanding</t>
  </si>
  <si>
    <t>Interest Rate</t>
  </si>
  <si>
    <t>Principal Payment Amt Per Year</t>
  </si>
  <si>
    <t>Year of Final Payment</t>
  </si>
  <si>
    <t>Interest &amp; Principal Pmts Due</t>
  </si>
  <si>
    <t>December</t>
  </si>
  <si>
    <t>Mortgage Bond Information</t>
  </si>
  <si>
    <t>Principal Payments Begin in Year</t>
  </si>
  <si>
    <t xml:space="preserve">Profit Margin on Sales </t>
  </si>
  <si>
    <t>Net Income Available to Common Stockholders</t>
  </si>
  <si>
    <t>Basic Earning Power</t>
  </si>
  <si>
    <t>Interest + Principal Payments + Lease Payments</t>
  </si>
  <si>
    <t>Return on Total Assets</t>
  </si>
  <si>
    <t>Return on Common Equity</t>
  </si>
  <si>
    <t>Common Equity</t>
  </si>
  <si>
    <t>Price/Earnings Ratio</t>
  </si>
  <si>
    <t>Price Per Share</t>
  </si>
  <si>
    <t>Earnings Per Share</t>
  </si>
  <si>
    <t>Price/Cash Flow Ratio</t>
  </si>
  <si>
    <t>Market/Book Ratio</t>
  </si>
  <si>
    <t>Net Sales</t>
  </si>
  <si>
    <t>Net Income - Preferred Dividends</t>
  </si>
  <si>
    <t>Common Stock Outstanding</t>
  </si>
  <si>
    <t>Dividends</t>
  </si>
  <si>
    <t>(Net Income + Deprec + Amor) / Shares Outstanding</t>
  </si>
  <si>
    <t>Current Assets - Inventories</t>
  </si>
  <si>
    <t>Selling General &amp; Adm Exp (SG&amp;A)</t>
  </si>
  <si>
    <t>N/A</t>
  </si>
  <si>
    <t>RATIO ANALYSIS</t>
  </si>
  <si>
    <t>Not Given</t>
  </si>
  <si>
    <t>2005 Market Price Per Share</t>
  </si>
  <si>
    <t>2005 Rondo Company Beta</t>
  </si>
  <si>
    <t>2005 Mr. Rondo's Share Ownership</t>
  </si>
  <si>
    <t xml:space="preserve">      The Rondo Company</t>
  </si>
  <si>
    <t>Diana Trageser</t>
  </si>
  <si>
    <t>Rondo - Additional Funds Needed Assignment</t>
  </si>
  <si>
    <t>Actual</t>
  </si>
  <si>
    <t>Forecast</t>
  </si>
  <si>
    <t>Income Statement</t>
  </si>
  <si>
    <t>Selling General and Admin Expenses (SG&amp;A)</t>
  </si>
  <si>
    <t>Earnings Before Interest and Taxes</t>
  </si>
  <si>
    <t>Earnings Before Tax</t>
  </si>
  <si>
    <t>Net Income</t>
  </si>
  <si>
    <t xml:space="preserve">Balance Sheet </t>
  </si>
  <si>
    <t>Total Current Assets</t>
  </si>
  <si>
    <t xml:space="preserve">   Total PP&amp;E</t>
  </si>
  <si>
    <t>Current Portion of Mortgage Bond</t>
  </si>
  <si>
    <t>Total Current Liabilities</t>
  </si>
  <si>
    <t>Total Long-term Debt</t>
  </si>
  <si>
    <t xml:space="preserve">   Total Equity</t>
  </si>
  <si>
    <t>Total Liabilities and Equity</t>
  </si>
  <si>
    <t>Additional Funding Sources Needed (Cumulative)</t>
  </si>
  <si>
    <t>Inventories</t>
  </si>
  <si>
    <t>Net plant and equipment</t>
  </si>
  <si>
    <t>Long-term Debt</t>
  </si>
  <si>
    <t>AFN</t>
  </si>
  <si>
    <t>Bond Payable</t>
  </si>
  <si>
    <t>Breakdown for 2006's AFN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</si>
</sst>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_);\(0.00\)"/>
    <numFmt numFmtId="167" formatCode="0_);\(0\)"/>
    <numFmt numFmtId="168" formatCode="0.0"/>
    <numFmt numFmtId="169" formatCode="0.0_);\(0.0\)"/>
    <numFmt numFmtId="170" formatCode="0.0%"/>
    <numFmt numFmtId="171" formatCode="#,##0.0_);\(#,##0.0\)"/>
    <numFmt numFmtId="172" formatCode="0.0;[Red]0.0"/>
    <numFmt numFmtId="173" formatCode="[$-409]h:mm:ss\ AM/PM"/>
    <numFmt numFmtId="174" formatCode="#,##0;[Red]#,##0"/>
    <numFmt numFmtId="175" formatCode="0.000000000%"/>
    <numFmt numFmtId="176" formatCode="0.00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15" applyNumberFormat="1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165" fontId="0" fillId="0" borderId="0" xfId="17" applyNumberFormat="1" applyAlignment="1">
      <alignment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5" fontId="0" fillId="0" borderId="2" xfId="17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165" fontId="0" fillId="0" borderId="2" xfId="17" applyNumberFormat="1" applyFont="1" applyBorder="1" applyAlignment="1">
      <alignment/>
    </xf>
    <xf numFmtId="3" fontId="0" fillId="0" borderId="1" xfId="17" applyNumberForma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9" fontId="0" fillId="0" borderId="0" xfId="17" applyNumberFormat="1" applyAlignment="1">
      <alignment/>
    </xf>
    <xf numFmtId="37" fontId="0" fillId="0" borderId="0" xfId="15" applyNumberFormat="1" applyAlignment="1">
      <alignment/>
    </xf>
    <xf numFmtId="10" fontId="0" fillId="0" borderId="0" xfId="0" applyNumberFormat="1" applyAlignment="1">
      <alignment/>
    </xf>
    <xf numFmtId="43" fontId="0" fillId="0" borderId="0" xfId="17" applyNumberFormat="1" applyAlignment="1">
      <alignment/>
    </xf>
    <xf numFmtId="0" fontId="3" fillId="0" borderId="0" xfId="0" applyFont="1" applyBorder="1" applyAlignment="1">
      <alignment/>
    </xf>
    <xf numFmtId="165" fontId="0" fillId="0" borderId="0" xfId="17" applyNumberFormat="1" applyBorder="1" applyAlignment="1">
      <alignment/>
    </xf>
    <xf numFmtId="165" fontId="0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0" fillId="0" borderId="0" xfId="17" applyNumberFormat="1" applyFill="1" applyBorder="1" applyAlignment="1">
      <alignment/>
    </xf>
    <xf numFmtId="0" fontId="7" fillId="0" borderId="0" xfId="0" applyFont="1" applyFill="1" applyAlignment="1">
      <alignment/>
    </xf>
    <xf numFmtId="3" fontId="0" fillId="0" borderId="0" xfId="17" applyNumberFormat="1" applyBorder="1" applyAlignment="1">
      <alignment horizontal="right"/>
    </xf>
    <xf numFmtId="3" fontId="0" fillId="0" borderId="0" xfId="17" applyNumberFormat="1" applyBorder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39" fontId="0" fillId="0" borderId="0" xfId="0" applyNumberFormat="1" applyAlignment="1">
      <alignment/>
    </xf>
    <xf numFmtId="3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0" fontId="0" fillId="0" borderId="2" xfId="15" applyNumberFormat="1" applyBorder="1" applyAlignment="1">
      <alignment/>
    </xf>
    <xf numFmtId="39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15" applyNumberFormat="1" applyFont="1" applyBorder="1" applyAlignment="1">
      <alignment horizontal="right"/>
    </xf>
    <xf numFmtId="164" fontId="0" fillId="0" borderId="1" xfId="15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3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6" fillId="0" borderId="0" xfId="0" applyFont="1" applyAlignment="1">
      <alignment horizontal="center"/>
    </xf>
    <xf numFmtId="166" fontId="0" fillId="0" borderId="1" xfId="0" applyNumberFormat="1" applyBorder="1" applyAlignment="1">
      <alignment/>
    </xf>
    <xf numFmtId="17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0" fontId="0" fillId="0" borderId="0" xfId="15" applyNumberFormat="1" applyAlignment="1">
      <alignment/>
    </xf>
    <xf numFmtId="176" fontId="0" fillId="0" borderId="0" xfId="15" applyNumberFormat="1" applyBorder="1" applyAlignment="1">
      <alignment/>
    </xf>
    <xf numFmtId="10" fontId="0" fillId="0" borderId="0" xfId="15" applyNumberFormat="1" applyBorder="1" applyAlignment="1">
      <alignment/>
    </xf>
    <xf numFmtId="10" fontId="0" fillId="0" borderId="1" xfId="15" applyNumberFormat="1" applyBorder="1" applyAlignment="1">
      <alignment/>
    </xf>
    <xf numFmtId="176" fontId="0" fillId="0" borderId="0" xfId="0" applyNumberFormat="1" applyAlignment="1">
      <alignment/>
    </xf>
    <xf numFmtId="10" fontId="0" fillId="0" borderId="0" xfId="21" applyNumberFormat="1" applyAlignment="1">
      <alignment/>
    </xf>
    <xf numFmtId="10" fontId="0" fillId="0" borderId="1" xfId="21" applyNumberFormat="1" applyBorder="1" applyAlignment="1">
      <alignment/>
    </xf>
    <xf numFmtId="10" fontId="0" fillId="0" borderId="2" xfId="21" applyNumberFormat="1" applyBorder="1" applyAlignment="1">
      <alignment/>
    </xf>
    <xf numFmtId="10" fontId="0" fillId="0" borderId="4" xfId="21" applyNumberFormat="1" applyBorder="1" applyAlignment="1">
      <alignment/>
    </xf>
    <xf numFmtId="10" fontId="0" fillId="0" borderId="0" xfId="21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4" xfId="15" applyNumberFormat="1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7" fontId="0" fillId="0" borderId="10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10" xfId="15" applyNumberFormat="1" applyBorder="1" applyAlignment="1">
      <alignment/>
    </xf>
    <xf numFmtId="37" fontId="0" fillId="0" borderId="9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1" xfId="15" applyNumberFormat="1" applyBorder="1" applyAlignment="1">
      <alignment/>
    </xf>
    <xf numFmtId="37" fontId="0" fillId="0" borderId="7" xfId="0" applyNumberFormat="1" applyFill="1" applyBorder="1" applyAlignment="1">
      <alignment/>
    </xf>
    <xf numFmtId="37" fontId="0" fillId="0" borderId="8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41" fontId="0" fillId="0" borderId="8" xfId="0" applyNumberFormat="1" applyFill="1" applyBorder="1" applyAlignment="1">
      <alignment/>
    </xf>
    <xf numFmtId="41" fontId="0" fillId="0" borderId="9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1" xfId="17" applyNumberFormat="1" applyBorder="1" applyAlignment="1">
      <alignment/>
    </xf>
    <xf numFmtId="165" fontId="0" fillId="0" borderId="2" xfId="17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2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0" fillId="0" borderId="15" xfId="0" applyNumberFormat="1" applyBorder="1" applyAlignment="1">
      <alignment/>
    </xf>
    <xf numFmtId="164" fontId="0" fillId="0" borderId="11" xfId="15" applyNumberFormat="1" applyBorder="1" applyAlignment="1">
      <alignment/>
    </xf>
    <xf numFmtId="164" fontId="0" fillId="0" borderId="2" xfId="15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10" xfId="15" applyNumberFormat="1" applyFont="1" applyBorder="1" applyAlignment="1">
      <alignment/>
    </xf>
    <xf numFmtId="167" fontId="0" fillId="0" borderId="12" xfId="0" applyNumberForma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16" xfId="15" applyNumberFormat="1" applyBorder="1" applyAlignment="1">
      <alignment/>
    </xf>
    <xf numFmtId="164" fontId="0" fillId="0" borderId="12" xfId="15" applyNumberFormat="1" applyBorder="1" applyAlignment="1">
      <alignment/>
    </xf>
    <xf numFmtId="164" fontId="0" fillId="0" borderId="13" xfId="15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7" xfId="17" applyNumberFormat="1" applyBorder="1" applyAlignment="1">
      <alignment/>
    </xf>
    <xf numFmtId="165" fontId="0" fillId="0" borderId="16" xfId="17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47625</xdr:rowOff>
    </xdr:from>
    <xdr:to>
      <xdr:col>8</xdr:col>
      <xdr:colOff>247650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6296025" y="3714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4"/>
  <sheetViews>
    <sheetView workbookViewId="0" topLeftCell="A1">
      <selection activeCell="B19" sqref="B18:B19"/>
    </sheetView>
  </sheetViews>
  <sheetFormatPr defaultColWidth="9.140625" defaultRowHeight="12.75"/>
  <cols>
    <col min="1" max="1" width="32.7109375" style="0" customWidth="1"/>
    <col min="2" max="2" width="13.8515625" style="0" customWidth="1"/>
    <col min="3" max="3" width="15.57421875" style="0" customWidth="1"/>
    <col min="4" max="4" width="15.140625" style="0" customWidth="1"/>
    <col min="5" max="5" width="3.57421875" style="0" customWidth="1"/>
    <col min="6" max="6" width="11.28125" style="0" bestFit="1" customWidth="1"/>
    <col min="7" max="7" width="12.28125" style="0" bestFit="1" customWidth="1"/>
    <col min="8" max="8" width="12.8515625" style="0" bestFit="1" customWidth="1"/>
    <col min="9" max="9" width="10.28125" style="0" customWidth="1"/>
    <col min="10" max="10" width="12.28125" style="0" bestFit="1" customWidth="1"/>
  </cols>
  <sheetData>
    <row r="1" ht="12.75">
      <c r="A1" t="s">
        <v>119</v>
      </c>
    </row>
    <row r="2" spans="1:12" ht="12.75">
      <c r="A2" s="97" t="s">
        <v>32</v>
      </c>
      <c r="B2" s="2"/>
      <c r="C2" s="2"/>
      <c r="D2" s="2"/>
      <c r="E2" s="2"/>
      <c r="F2" s="2"/>
      <c r="G2" s="3"/>
      <c r="H2" s="2"/>
      <c r="I2" s="2"/>
      <c r="J2" s="2"/>
      <c r="L2" s="2">
        <v>2005</v>
      </c>
    </row>
    <row r="3" spans="1:12" ht="12.75">
      <c r="A3" s="1"/>
      <c r="B3" s="2"/>
      <c r="C3" s="2"/>
      <c r="D3" s="2"/>
      <c r="E3" s="2"/>
      <c r="F3" s="2"/>
      <c r="G3" s="3"/>
      <c r="H3" s="2"/>
      <c r="I3" s="2"/>
      <c r="J3" s="2"/>
      <c r="L3" s="66" t="s">
        <v>26</v>
      </c>
    </row>
    <row r="4" spans="1:12" ht="12.75">
      <c r="A4" s="1" t="s">
        <v>113</v>
      </c>
      <c r="B4" s="172" t="s">
        <v>118</v>
      </c>
      <c r="C4" s="172"/>
      <c r="D4" s="2"/>
      <c r="E4" s="2"/>
      <c r="F4" s="4">
        <v>2003</v>
      </c>
      <c r="G4" s="77" t="s">
        <v>25</v>
      </c>
      <c r="H4" s="4">
        <v>2004</v>
      </c>
      <c r="I4" s="66" t="s">
        <v>25</v>
      </c>
      <c r="J4" s="4">
        <v>2005</v>
      </c>
      <c r="K4" s="4" t="s">
        <v>25</v>
      </c>
      <c r="L4" s="66" t="s">
        <v>27</v>
      </c>
    </row>
    <row r="5" spans="1:12" ht="12.75">
      <c r="A5" s="1"/>
      <c r="B5" s="2"/>
      <c r="C5" s="2"/>
      <c r="D5" s="2"/>
      <c r="E5" s="2"/>
      <c r="F5" s="4"/>
      <c r="G5" s="3"/>
      <c r="H5" s="4"/>
      <c r="I5" s="2"/>
      <c r="J5" s="4"/>
      <c r="K5" s="4"/>
      <c r="L5" s="66"/>
    </row>
    <row r="6" spans="1:12" ht="12.75">
      <c r="A6" s="73" t="s">
        <v>67</v>
      </c>
      <c r="B6" s="2"/>
      <c r="C6" s="2"/>
      <c r="D6" s="2"/>
      <c r="E6" s="2"/>
      <c r="F6" s="2"/>
      <c r="G6" s="3"/>
      <c r="H6" s="2"/>
      <c r="I6" s="2"/>
      <c r="J6" s="2"/>
      <c r="L6" s="4"/>
    </row>
    <row r="7" spans="1:12" ht="12.75">
      <c r="A7" s="2"/>
      <c r="B7" s="2"/>
      <c r="C7" s="2"/>
      <c r="D7" s="2"/>
      <c r="E7" s="2"/>
      <c r="F7" s="2"/>
      <c r="G7" s="3"/>
      <c r="H7" s="2"/>
      <c r="I7" s="2"/>
      <c r="J7" s="2"/>
      <c r="L7" s="2"/>
    </row>
    <row r="8" spans="1:12" ht="12.75">
      <c r="A8" s="5" t="s">
        <v>28</v>
      </c>
      <c r="B8" s="2"/>
      <c r="C8" s="65" t="s">
        <v>29</v>
      </c>
      <c r="D8" s="2"/>
      <c r="E8" s="2"/>
      <c r="F8" s="68">
        <v>14594000</v>
      </c>
      <c r="G8" s="57">
        <f>F8/F9</f>
        <v>1.9788474576271187</v>
      </c>
      <c r="H8" s="70">
        <f>D103</f>
        <v>16032500</v>
      </c>
      <c r="I8" s="58">
        <f>H8/H9</f>
        <v>1.9433333333333334</v>
      </c>
      <c r="J8" s="70">
        <f>G103</f>
        <v>17460000</v>
      </c>
      <c r="K8" s="58">
        <f>J8/J9</f>
        <v>1.9954285714285713</v>
      </c>
      <c r="L8" s="3">
        <v>1.4</v>
      </c>
    </row>
    <row r="9" spans="1:12" ht="12.75">
      <c r="A9" s="5"/>
      <c r="B9" s="2"/>
      <c r="C9" s="2" t="s">
        <v>30</v>
      </c>
      <c r="D9" s="2"/>
      <c r="E9" s="2"/>
      <c r="F9" s="6">
        <v>7375000</v>
      </c>
      <c r="G9" s="3"/>
      <c r="H9" s="60">
        <f>D118</f>
        <v>8250000</v>
      </c>
      <c r="I9" s="2"/>
      <c r="J9" s="60">
        <f>G118</f>
        <v>8750000</v>
      </c>
      <c r="L9" s="2"/>
    </row>
    <row r="10" spans="1:12" ht="12.75">
      <c r="A10" s="5"/>
      <c r="B10" s="2"/>
      <c r="C10" s="2"/>
      <c r="D10" s="2"/>
      <c r="E10" s="2"/>
      <c r="F10" s="2"/>
      <c r="G10" s="3"/>
      <c r="H10" s="2"/>
      <c r="I10" s="2"/>
      <c r="J10" s="2"/>
      <c r="L10" s="2"/>
    </row>
    <row r="11" spans="1:12" ht="12.75">
      <c r="A11" s="5" t="s">
        <v>31</v>
      </c>
      <c r="B11" s="76"/>
      <c r="C11" s="67" t="s">
        <v>110</v>
      </c>
      <c r="D11" s="76"/>
      <c r="E11" s="2"/>
      <c r="F11" s="69">
        <f>B103-B102</f>
        <v>10469000</v>
      </c>
      <c r="G11" s="58">
        <f>F11/F12</f>
        <v>1.4195254237288135</v>
      </c>
      <c r="H11" s="70">
        <f>D103-D102</f>
        <v>11407500</v>
      </c>
      <c r="I11" s="58">
        <f>H11/H12</f>
        <v>1.3827272727272728</v>
      </c>
      <c r="J11" s="70">
        <f>G103-G102</f>
        <v>12210000</v>
      </c>
      <c r="K11" s="58">
        <f>J11/J12</f>
        <v>1.3954285714285715</v>
      </c>
      <c r="L11" s="2">
        <v>1.25</v>
      </c>
    </row>
    <row r="12" spans="1:12" ht="12.75">
      <c r="A12" s="2"/>
      <c r="B12" s="2"/>
      <c r="C12" s="2" t="s">
        <v>30</v>
      </c>
      <c r="D12" s="2"/>
      <c r="E12" s="2"/>
      <c r="F12" s="7">
        <v>7375000</v>
      </c>
      <c r="G12" s="3"/>
      <c r="H12" s="60">
        <f>D118</f>
        <v>8250000</v>
      </c>
      <c r="I12" s="2"/>
      <c r="J12" s="60">
        <f>G118</f>
        <v>8750000</v>
      </c>
      <c r="L12" s="2"/>
    </row>
    <row r="14" ht="12.75">
      <c r="A14" s="73" t="s">
        <v>68</v>
      </c>
    </row>
    <row r="16" spans="1:12" ht="12.75">
      <c r="A16" t="s">
        <v>35</v>
      </c>
      <c r="C16" s="33" t="s">
        <v>14</v>
      </c>
      <c r="F16" s="26">
        <f>B158</f>
        <v>41250000</v>
      </c>
      <c r="G16" s="58">
        <f>F16/F17</f>
        <v>10</v>
      </c>
      <c r="H16" s="32">
        <f>D158</f>
        <v>46250000</v>
      </c>
      <c r="I16" s="58">
        <f>H16/H17</f>
        <v>10.571428571428571</v>
      </c>
      <c r="J16" s="32">
        <f>G158</f>
        <v>50000000</v>
      </c>
      <c r="K16" s="58">
        <f>J16/J17</f>
        <v>10.126582278481013</v>
      </c>
      <c r="L16" s="2" t="s">
        <v>112</v>
      </c>
    </row>
    <row r="17" spans="1:10" ht="12.75">
      <c r="A17" t="s">
        <v>37</v>
      </c>
      <c r="C17" s="2" t="s">
        <v>42</v>
      </c>
      <c r="F17" s="17">
        <f>B102</f>
        <v>4125000</v>
      </c>
      <c r="H17" s="27">
        <f>(D102+B102)/2</f>
        <v>4375000</v>
      </c>
      <c r="J17" s="27">
        <f>(G102+D102)/2</f>
        <v>4937500</v>
      </c>
    </row>
    <row r="19" spans="1:12" ht="12.75">
      <c r="A19" t="s">
        <v>36</v>
      </c>
      <c r="C19" s="33" t="s">
        <v>42</v>
      </c>
      <c r="F19" s="13">
        <f>B102</f>
        <v>4125000</v>
      </c>
      <c r="G19" s="58">
        <f>F19/F20</f>
        <v>36</v>
      </c>
      <c r="H19" s="31">
        <f>D102</f>
        <v>4625000</v>
      </c>
      <c r="I19" s="58">
        <f>H19/H20</f>
        <v>36</v>
      </c>
      <c r="J19" s="31">
        <f>G102</f>
        <v>5250000</v>
      </c>
      <c r="K19" s="2">
        <f>J19/J20</f>
        <v>37.800000000000004</v>
      </c>
      <c r="L19" s="2" t="s">
        <v>112</v>
      </c>
    </row>
    <row r="20" spans="1:10" ht="12.75">
      <c r="A20" t="s">
        <v>37</v>
      </c>
      <c r="C20" s="2" t="s">
        <v>43</v>
      </c>
      <c r="F20" s="30">
        <f>B158/360</f>
        <v>114583.33333333333</v>
      </c>
      <c r="H20" s="71">
        <f>D158/360</f>
        <v>128472.22222222222</v>
      </c>
      <c r="J20" s="71">
        <f>G158/360</f>
        <v>138888.88888888888</v>
      </c>
    </row>
    <row r="22" spans="1:12" ht="12.75">
      <c r="A22" t="s">
        <v>35</v>
      </c>
      <c r="C22" s="8" t="s">
        <v>15</v>
      </c>
      <c r="F22" s="31">
        <f>B159*-1</f>
        <v>28875000</v>
      </c>
      <c r="G22" s="58">
        <f>F22/F23</f>
        <v>7</v>
      </c>
      <c r="H22" s="72">
        <f>D159*-1</f>
        <v>32375000</v>
      </c>
      <c r="I22" s="58">
        <f>H22/H23</f>
        <v>7.4</v>
      </c>
      <c r="J22" s="31">
        <f>G159*-1</f>
        <v>35000000</v>
      </c>
      <c r="K22" s="58">
        <f>J22/J23</f>
        <v>7.0886075949367084</v>
      </c>
      <c r="L22" s="2" t="s">
        <v>112</v>
      </c>
    </row>
    <row r="23" spans="1:10" ht="12.75">
      <c r="A23" t="s">
        <v>39</v>
      </c>
      <c r="C23" s="2" t="s">
        <v>42</v>
      </c>
      <c r="F23" s="27">
        <f>B102</f>
        <v>4125000</v>
      </c>
      <c r="H23" s="27">
        <f>(D102+B102)/2</f>
        <v>4375000</v>
      </c>
      <c r="J23" s="30">
        <f>(D102+G102)/2</f>
        <v>4937500</v>
      </c>
    </row>
    <row r="25" spans="1:12" ht="12.75">
      <c r="A25" t="s">
        <v>36</v>
      </c>
      <c r="B25" s="8"/>
      <c r="C25" s="33" t="s">
        <v>42</v>
      </c>
      <c r="D25" s="8"/>
      <c r="F25" s="31">
        <f>B102</f>
        <v>4125000</v>
      </c>
      <c r="G25" s="58">
        <f>F25/F26</f>
        <v>51.42857142857143</v>
      </c>
      <c r="H25" s="31">
        <f>D102</f>
        <v>4625000</v>
      </c>
      <c r="I25" s="58">
        <f>H25/H26</f>
        <v>51.42857142857142</v>
      </c>
      <c r="J25" s="31">
        <f>G102</f>
        <v>5250000</v>
      </c>
      <c r="K25" s="58">
        <f>J25/J26</f>
        <v>54</v>
      </c>
      <c r="L25" s="58">
        <v>40</v>
      </c>
    </row>
    <row r="26" spans="1:10" ht="12.75">
      <c r="A26" t="s">
        <v>39</v>
      </c>
      <c r="C26" t="s">
        <v>44</v>
      </c>
      <c r="F26" s="27">
        <f>(B159*-1)/360</f>
        <v>80208.33333333333</v>
      </c>
      <c r="H26" s="27">
        <f>(D159*-1)/360</f>
        <v>89930.55555555556</v>
      </c>
      <c r="J26" s="30">
        <f>(G159*-1)/360</f>
        <v>97222.22222222222</v>
      </c>
    </row>
    <row r="28" spans="1:12" ht="12.75">
      <c r="A28" t="s">
        <v>38</v>
      </c>
      <c r="C28" s="33" t="s">
        <v>45</v>
      </c>
      <c r="F28" s="31">
        <f>B101</f>
        <v>9000000</v>
      </c>
      <c r="G28" s="58">
        <f>F28/F29</f>
        <v>78.54545454545455</v>
      </c>
      <c r="H28" s="31">
        <f>D101</f>
        <v>9375000</v>
      </c>
      <c r="I28" s="62">
        <f>H28/H29</f>
        <v>72.97297297297297</v>
      </c>
      <c r="J28" s="31">
        <f>G101</f>
        <v>9750000</v>
      </c>
      <c r="K28" s="58">
        <f>J28/J29</f>
        <v>70.2</v>
      </c>
      <c r="L28" s="58">
        <v>45</v>
      </c>
    </row>
    <row r="29" spans="1:10" ht="12.75">
      <c r="A29" t="s">
        <v>37</v>
      </c>
      <c r="C29" s="2" t="s">
        <v>43</v>
      </c>
      <c r="F29" s="30">
        <f>B158/360</f>
        <v>114583.33333333333</v>
      </c>
      <c r="H29" s="30">
        <f>D158/360</f>
        <v>128472.22222222222</v>
      </c>
      <c r="J29" s="30">
        <f>G158/360</f>
        <v>138888.88888888888</v>
      </c>
    </row>
    <row r="31" spans="1:12" ht="12.75">
      <c r="A31" t="s">
        <v>40</v>
      </c>
      <c r="C31" s="33" t="s">
        <v>14</v>
      </c>
      <c r="F31" s="32">
        <f>B158</f>
        <v>41250000</v>
      </c>
      <c r="G31" s="58">
        <f>F31/F32</f>
        <v>1.1785714285714286</v>
      </c>
      <c r="H31" s="32">
        <f>D158</f>
        <v>46250000</v>
      </c>
      <c r="I31" s="58">
        <f>H31/H32</f>
        <v>1.3454545454545455</v>
      </c>
      <c r="J31" s="32">
        <f>G158</f>
        <v>50000000</v>
      </c>
      <c r="K31" s="58">
        <f>J31/J32</f>
        <v>1.5151515151515151</v>
      </c>
      <c r="L31" s="2">
        <v>1.45</v>
      </c>
    </row>
    <row r="32" spans="3:10" ht="12.75">
      <c r="C32" s="2" t="s">
        <v>46</v>
      </c>
      <c r="F32" s="27">
        <f>B108</f>
        <v>35000000</v>
      </c>
      <c r="H32" s="30">
        <f>(B108+D108)/2</f>
        <v>34375000</v>
      </c>
      <c r="J32" s="27">
        <f>(G108+D108)/2</f>
        <v>33000000</v>
      </c>
    </row>
    <row r="34" spans="1:12" ht="12.75">
      <c r="A34" t="s">
        <v>41</v>
      </c>
      <c r="C34" s="33" t="s">
        <v>14</v>
      </c>
      <c r="F34" s="32">
        <f>B158</f>
        <v>41250000</v>
      </c>
      <c r="G34" s="58">
        <f>F34/F35</f>
        <v>0.8317538411904666</v>
      </c>
      <c r="H34" s="32">
        <f>D158</f>
        <v>46250000</v>
      </c>
      <c r="I34" s="62">
        <f>H34/H35</f>
        <v>0.9308035601978335</v>
      </c>
      <c r="J34" s="32">
        <f>G158</f>
        <v>50000000</v>
      </c>
      <c r="K34" s="58">
        <f>J34/J35</f>
        <v>1.0051008870015328</v>
      </c>
      <c r="L34" s="29">
        <v>1.1</v>
      </c>
    </row>
    <row r="35" spans="3:10" ht="12.75">
      <c r="C35" s="2" t="s">
        <v>4</v>
      </c>
      <c r="F35" s="27">
        <f>B110</f>
        <v>49594000</v>
      </c>
      <c r="H35" s="27">
        <f>(D110+B110)/2</f>
        <v>49688250</v>
      </c>
      <c r="J35" s="27">
        <f>(G110+D110)/2</f>
        <v>49746250</v>
      </c>
    </row>
    <row r="36" ht="12.75">
      <c r="G36" s="28"/>
    </row>
    <row r="37" ht="12.75">
      <c r="A37" s="73" t="s">
        <v>69</v>
      </c>
    </row>
    <row r="39" spans="1:12" ht="12.75">
      <c r="A39" t="s">
        <v>73</v>
      </c>
      <c r="C39" s="33" t="s">
        <v>74</v>
      </c>
      <c r="F39" s="31">
        <f>B125</f>
        <v>22375000</v>
      </c>
      <c r="G39" s="59">
        <f>F39/F40</f>
        <v>0.4511634471911925</v>
      </c>
      <c r="H39" s="31">
        <f>D125</f>
        <v>20750000</v>
      </c>
      <c r="I39" s="59">
        <f>H39/H40</f>
        <v>0.41681313714658763</v>
      </c>
      <c r="J39" s="31">
        <f>G125</f>
        <v>18750000</v>
      </c>
      <c r="K39" s="59">
        <f>J39/J40</f>
        <v>0.3771876885938443</v>
      </c>
      <c r="L39" s="59">
        <v>0.4</v>
      </c>
    </row>
    <row r="40" spans="3:10" ht="12.75">
      <c r="C40" s="2" t="s">
        <v>4</v>
      </c>
      <c r="F40" s="27">
        <f>B110</f>
        <v>49594000</v>
      </c>
      <c r="H40" s="27">
        <f>D110</f>
        <v>49782500</v>
      </c>
      <c r="J40" s="27">
        <f>G110</f>
        <v>49710000</v>
      </c>
    </row>
    <row r="42" spans="1:12" ht="12.75">
      <c r="A42" t="s">
        <v>75</v>
      </c>
      <c r="C42" s="33" t="s">
        <v>10</v>
      </c>
      <c r="F42" s="31">
        <f>B125</f>
        <v>22375000</v>
      </c>
      <c r="G42" s="29">
        <f>F42/F43</f>
        <v>0.8220360777398141</v>
      </c>
      <c r="H42" s="31">
        <f>D125</f>
        <v>20750000</v>
      </c>
      <c r="I42" s="29">
        <f>H42/H43</f>
        <v>0.7147162662533367</v>
      </c>
      <c r="J42" s="31">
        <f>G218</f>
        <v>18750000</v>
      </c>
      <c r="K42" s="29">
        <f>J42/J43</f>
        <v>0.6056201550387597</v>
      </c>
      <c r="L42" s="2" t="s">
        <v>112</v>
      </c>
    </row>
    <row r="43" spans="3:10" ht="12.75">
      <c r="C43" t="s">
        <v>76</v>
      </c>
      <c r="F43" s="27">
        <f>B130</f>
        <v>27219000</v>
      </c>
      <c r="H43" s="27">
        <f>D130</f>
        <v>29032500</v>
      </c>
      <c r="J43" s="27">
        <f>G130</f>
        <v>30960000</v>
      </c>
    </row>
    <row r="45" spans="1:12" ht="12.75">
      <c r="A45" t="s">
        <v>77</v>
      </c>
      <c r="C45" s="33" t="s">
        <v>78</v>
      </c>
      <c r="F45" s="31">
        <f>B164</f>
        <v>6315000</v>
      </c>
      <c r="G45" s="29">
        <f>F45/F46</f>
        <v>4.952941176470588</v>
      </c>
      <c r="H45" s="31">
        <f>D164</f>
        <v>7170000</v>
      </c>
      <c r="I45" s="29">
        <f>H45/H46</f>
        <v>6.373333333333333</v>
      </c>
      <c r="J45" s="31">
        <f>G164</f>
        <v>7400000</v>
      </c>
      <c r="K45" s="29">
        <f>J45/J46</f>
        <v>7.589743589743589</v>
      </c>
      <c r="L45" s="2" t="s">
        <v>112</v>
      </c>
    </row>
    <row r="46" spans="3:10" ht="12.75">
      <c r="C46" s="2" t="s">
        <v>18</v>
      </c>
      <c r="F46" s="27">
        <f>B166*-1</f>
        <v>1275000</v>
      </c>
      <c r="H46" s="27">
        <f>D166*-1</f>
        <v>1125000</v>
      </c>
      <c r="J46" s="27">
        <f>G166*-1</f>
        <v>975000</v>
      </c>
    </row>
    <row r="48" spans="1:12" ht="12.75">
      <c r="A48" t="s">
        <v>79</v>
      </c>
      <c r="B48" s="174" t="s">
        <v>80</v>
      </c>
      <c r="C48" s="174"/>
      <c r="D48" s="174"/>
      <c r="E48" s="21"/>
      <c r="F48" s="93">
        <f>B164+(B163*-1)</f>
        <v>7815000</v>
      </c>
      <c r="G48" s="95">
        <f>F48/F49</f>
        <v>2.070198675496689</v>
      </c>
      <c r="H48" s="93">
        <f>D164+(D163*-1)</f>
        <v>8670000</v>
      </c>
      <c r="I48" s="29">
        <f>H48/H49</f>
        <v>2.3917241379310346</v>
      </c>
      <c r="J48" s="96">
        <f>G164+(G163*-1)</f>
        <v>9150000</v>
      </c>
      <c r="K48" s="29">
        <f>J48/J49</f>
        <v>2.633093525179856</v>
      </c>
      <c r="L48" s="2" t="s">
        <v>112</v>
      </c>
    </row>
    <row r="49" spans="2:10" ht="12.75">
      <c r="B49" s="175" t="s">
        <v>96</v>
      </c>
      <c r="C49" s="175"/>
      <c r="D49" s="175"/>
      <c r="E49" s="21"/>
      <c r="F49" s="94">
        <f>(B166*-1)+B116</f>
        <v>3775000</v>
      </c>
      <c r="H49" s="94">
        <f>D166*-1+D116</f>
        <v>3625000</v>
      </c>
      <c r="J49" s="94">
        <f>G166*-1+G116</f>
        <v>3475000</v>
      </c>
    </row>
    <row r="51" ht="12.75">
      <c r="A51" s="73" t="s">
        <v>70</v>
      </c>
    </row>
    <row r="53" spans="1:12" ht="12.75">
      <c r="A53" t="s">
        <v>93</v>
      </c>
      <c r="B53" s="174" t="s">
        <v>94</v>
      </c>
      <c r="C53" s="174"/>
      <c r="D53" s="174"/>
      <c r="E53" s="21"/>
      <c r="F53" s="32">
        <f>B171</f>
        <v>3024000</v>
      </c>
      <c r="G53" s="59">
        <f>F53/F54</f>
        <v>0.07330909090909091</v>
      </c>
      <c r="H53" s="32">
        <f>D171</f>
        <v>3627000</v>
      </c>
      <c r="I53" s="59">
        <f>H53/H54</f>
        <v>0.07842162162162163</v>
      </c>
      <c r="J53" s="32">
        <f>G171</f>
        <v>3855000</v>
      </c>
      <c r="K53" s="59">
        <f>J53/J54</f>
        <v>0.0771</v>
      </c>
      <c r="L53" s="59">
        <v>0.1</v>
      </c>
    </row>
    <row r="54" spans="3:10" ht="12.75">
      <c r="C54" s="2" t="s">
        <v>14</v>
      </c>
      <c r="F54" s="30">
        <f>B158</f>
        <v>41250000</v>
      </c>
      <c r="H54" s="30">
        <f>D158</f>
        <v>46250000</v>
      </c>
      <c r="J54" s="30">
        <f>G158</f>
        <v>50000000</v>
      </c>
    </row>
    <row r="56" spans="1:12" ht="12.75">
      <c r="A56" t="s">
        <v>95</v>
      </c>
      <c r="C56" s="33" t="s">
        <v>78</v>
      </c>
      <c r="F56" s="31">
        <f>B164</f>
        <v>6315000</v>
      </c>
      <c r="G56" s="59">
        <f>F56/F57</f>
        <v>0.12733395168770414</v>
      </c>
      <c r="H56" s="27">
        <f>D164</f>
        <v>7170000</v>
      </c>
      <c r="I56" s="59">
        <f>H56/H57</f>
        <v>0.14402651534173655</v>
      </c>
      <c r="J56" s="31">
        <f>G164</f>
        <v>7400000</v>
      </c>
      <c r="K56" s="59">
        <f>J56/J57</f>
        <v>0.1488634077650372</v>
      </c>
      <c r="L56" s="2" t="s">
        <v>112</v>
      </c>
    </row>
    <row r="57" spans="3:10" ht="12.75">
      <c r="C57" s="2" t="s">
        <v>4</v>
      </c>
      <c r="F57" s="27">
        <f>B110</f>
        <v>49594000</v>
      </c>
      <c r="H57" s="27">
        <f>D110</f>
        <v>49782500</v>
      </c>
      <c r="J57" s="27">
        <f>G110</f>
        <v>49710000</v>
      </c>
    </row>
    <row r="59" spans="1:12" ht="12.75">
      <c r="A59" t="s">
        <v>97</v>
      </c>
      <c r="B59" s="174" t="s">
        <v>94</v>
      </c>
      <c r="C59" s="174"/>
      <c r="D59" s="174"/>
      <c r="E59" s="21"/>
      <c r="F59" s="32">
        <f>B171</f>
        <v>3024000</v>
      </c>
      <c r="G59" s="59">
        <f>F59/F60</f>
        <v>0.06097511795781748</v>
      </c>
      <c r="H59" s="32">
        <f>D171</f>
        <v>3627000</v>
      </c>
      <c r="I59" s="59">
        <f>H59/H60</f>
        <v>0.07285692763521318</v>
      </c>
      <c r="J59" s="32">
        <f>G171</f>
        <v>3855000</v>
      </c>
      <c r="K59" s="59">
        <f>J59/J60</f>
        <v>0.0775497887748944</v>
      </c>
      <c r="L59" s="59">
        <v>0.11</v>
      </c>
    </row>
    <row r="60" spans="3:10" ht="12.75">
      <c r="C60" s="2" t="s">
        <v>4</v>
      </c>
      <c r="F60" s="27">
        <f>B110</f>
        <v>49594000</v>
      </c>
      <c r="H60" s="27">
        <f>D110</f>
        <v>49782500</v>
      </c>
      <c r="J60" s="27">
        <f>G110</f>
        <v>49710000</v>
      </c>
    </row>
    <row r="62" spans="1:12" ht="12.75">
      <c r="A62" t="s">
        <v>98</v>
      </c>
      <c r="B62" s="174" t="s">
        <v>94</v>
      </c>
      <c r="C62" s="174"/>
      <c r="D62" s="174"/>
      <c r="E62" s="21"/>
      <c r="F62" s="32">
        <f>B171</f>
        <v>3024000</v>
      </c>
      <c r="G62" s="59">
        <f>F62/F63</f>
        <v>0.11109886476358426</v>
      </c>
      <c r="H62" s="32">
        <f>D171</f>
        <v>3627000</v>
      </c>
      <c r="I62" s="59">
        <f>H62/H63</f>
        <v>0.1249289589253423</v>
      </c>
      <c r="J62" s="32">
        <f>G171</f>
        <v>3855000</v>
      </c>
      <c r="K62" s="59">
        <f>J62/J63</f>
        <v>0.12451550387596899</v>
      </c>
      <c r="L62" s="59">
        <v>0.2</v>
      </c>
    </row>
    <row r="63" spans="3:10" ht="12.75">
      <c r="C63" t="s">
        <v>99</v>
      </c>
      <c r="F63" s="27">
        <f>B130</f>
        <v>27219000</v>
      </c>
      <c r="H63" s="27">
        <f>D130</f>
        <v>29032500</v>
      </c>
      <c r="J63" s="27">
        <f>G130</f>
        <v>30960000</v>
      </c>
    </row>
    <row r="64" ht="12.75">
      <c r="J64" s="61"/>
    </row>
    <row r="65" ht="12.75">
      <c r="A65" s="73" t="s">
        <v>71</v>
      </c>
    </row>
    <row r="67" spans="1:12" ht="12.75">
      <c r="A67" t="s">
        <v>100</v>
      </c>
      <c r="C67" s="33" t="s">
        <v>101</v>
      </c>
      <c r="F67" s="92" t="s">
        <v>114</v>
      </c>
      <c r="G67" s="58"/>
      <c r="H67" s="92" t="s">
        <v>114</v>
      </c>
      <c r="I67" s="58"/>
      <c r="J67" s="74">
        <f>B178</f>
        <v>62</v>
      </c>
      <c r="K67" s="58">
        <f>J67/J68</f>
        <v>16.06217616580311</v>
      </c>
      <c r="L67" s="2" t="s">
        <v>112</v>
      </c>
    </row>
    <row r="68" spans="2:10" ht="12.75">
      <c r="B68" s="176" t="s">
        <v>102</v>
      </c>
      <c r="C68" s="176"/>
      <c r="D68" s="176"/>
      <c r="F68" s="55"/>
      <c r="H68" s="55"/>
      <c r="J68" s="55">
        <f>G174</f>
        <v>3.86</v>
      </c>
    </row>
    <row r="70" spans="1:12" ht="12.75">
      <c r="A70" t="s">
        <v>103</v>
      </c>
      <c r="B70" s="8"/>
      <c r="C70" s="33" t="s">
        <v>101</v>
      </c>
      <c r="D70" s="8"/>
      <c r="F70" s="92" t="s">
        <v>114</v>
      </c>
      <c r="G70" s="58"/>
      <c r="H70" s="92" t="s">
        <v>114</v>
      </c>
      <c r="I70" s="62"/>
      <c r="J70" s="74">
        <f>B178</f>
        <v>62</v>
      </c>
      <c r="K70" s="58">
        <f>J70/J71</f>
        <v>11.061552185548617</v>
      </c>
      <c r="L70" s="2" t="s">
        <v>112</v>
      </c>
    </row>
    <row r="71" spans="2:10" ht="12.75">
      <c r="B71" s="177" t="s">
        <v>109</v>
      </c>
      <c r="C71" s="177"/>
      <c r="D71" s="177"/>
      <c r="F71" s="64"/>
      <c r="H71" s="71"/>
      <c r="J71" s="28">
        <f>(G171+(G163*-1))/G173</f>
        <v>5.605</v>
      </c>
    </row>
    <row r="73" spans="1:12" ht="12.75">
      <c r="A73" t="s">
        <v>104</v>
      </c>
      <c r="C73" s="33" t="s">
        <v>99</v>
      </c>
      <c r="F73" s="31">
        <f>B130</f>
        <v>27219000</v>
      </c>
      <c r="G73" s="58">
        <f>F73/F74</f>
        <v>27.219</v>
      </c>
      <c r="H73" s="31">
        <f>D130</f>
        <v>29032500</v>
      </c>
      <c r="I73" s="58">
        <f>H73/H74</f>
        <v>29.0325</v>
      </c>
      <c r="J73" s="31">
        <f>G130</f>
        <v>30960000</v>
      </c>
      <c r="K73" s="58">
        <f>J73/J74</f>
        <v>30.96</v>
      </c>
      <c r="L73" s="2" t="s">
        <v>112</v>
      </c>
    </row>
    <row r="74" spans="2:10" ht="12.75">
      <c r="B74" s="176" t="s">
        <v>81</v>
      </c>
      <c r="C74" s="176"/>
      <c r="D74" s="176"/>
      <c r="F74" s="30">
        <f>B173</f>
        <v>1000000</v>
      </c>
      <c r="H74" s="30">
        <f>D173</f>
        <v>1000000</v>
      </c>
      <c r="J74" s="30">
        <f>G173</f>
        <v>1000000</v>
      </c>
    </row>
    <row r="76" ht="12.75">
      <c r="A76" s="73" t="s">
        <v>72</v>
      </c>
    </row>
    <row r="78" spans="1:12" ht="12.75">
      <c r="A78" t="s">
        <v>47</v>
      </c>
      <c r="C78" s="33" t="s">
        <v>16</v>
      </c>
      <c r="F78" s="31">
        <f>B160</f>
        <v>12375000</v>
      </c>
      <c r="G78" s="59">
        <f>F78/F79</f>
        <v>0.3</v>
      </c>
      <c r="H78" s="31">
        <f>D160</f>
        <v>13875000</v>
      </c>
      <c r="I78" s="59">
        <f>H78/H79</f>
        <v>0.3</v>
      </c>
      <c r="J78" s="31">
        <f>G160</f>
        <v>15000000</v>
      </c>
      <c r="K78" s="59">
        <f>J78/J79</f>
        <v>0.3</v>
      </c>
      <c r="L78" s="59">
        <v>0.35</v>
      </c>
    </row>
    <row r="79" spans="3:10" ht="12.75">
      <c r="C79" s="2" t="s">
        <v>105</v>
      </c>
      <c r="F79" s="30">
        <f>B158</f>
        <v>41250000</v>
      </c>
      <c r="H79" s="30">
        <f>D158</f>
        <v>46250000</v>
      </c>
      <c r="J79" s="30">
        <f>G158</f>
        <v>50000000</v>
      </c>
    </row>
    <row r="81" spans="1:12" ht="12.75">
      <c r="A81" t="s">
        <v>48</v>
      </c>
      <c r="C81" s="33" t="s">
        <v>1</v>
      </c>
      <c r="F81" s="32">
        <f>B100</f>
        <v>1469000</v>
      </c>
      <c r="G81" s="59">
        <f>F81/F82</f>
        <v>0.03561212121212121</v>
      </c>
      <c r="H81" s="32">
        <f>D100</f>
        <v>2032500</v>
      </c>
      <c r="I81" s="59">
        <f>H81/H82</f>
        <v>0.04394594594594595</v>
      </c>
      <c r="J81" s="32">
        <f>G100</f>
        <v>2460000</v>
      </c>
      <c r="K81" s="59">
        <f>J81/J82</f>
        <v>0.0492</v>
      </c>
      <c r="L81" s="59">
        <v>0.03</v>
      </c>
    </row>
    <row r="82" spans="3:10" ht="12.75">
      <c r="C82" s="2" t="s">
        <v>105</v>
      </c>
      <c r="F82" s="30">
        <f>B158</f>
        <v>41250000</v>
      </c>
      <c r="H82" s="75">
        <f>D158</f>
        <v>46250000</v>
      </c>
      <c r="J82" s="30">
        <f>G158</f>
        <v>50000000</v>
      </c>
    </row>
    <row r="84" spans="1:12" ht="12.75">
      <c r="A84" t="s">
        <v>49</v>
      </c>
      <c r="B84" s="8"/>
      <c r="C84" s="33" t="s">
        <v>106</v>
      </c>
      <c r="D84" s="8"/>
      <c r="F84" s="32">
        <f>B171</f>
        <v>3024000</v>
      </c>
      <c r="G84" s="29">
        <f>F84/F85</f>
        <v>3.024</v>
      </c>
      <c r="H84" s="32">
        <f>D171</f>
        <v>3627000</v>
      </c>
      <c r="I84" s="29">
        <f>H84/H85</f>
        <v>3.627</v>
      </c>
      <c r="J84" s="32">
        <f>G171</f>
        <v>3855000</v>
      </c>
      <c r="K84" s="29">
        <f>J84/J85</f>
        <v>3.855</v>
      </c>
      <c r="L84" s="2" t="s">
        <v>112</v>
      </c>
    </row>
    <row r="85" spans="3:10" ht="12.75">
      <c r="C85" s="2" t="s">
        <v>107</v>
      </c>
      <c r="F85" s="30">
        <f>B173</f>
        <v>1000000</v>
      </c>
      <c r="H85" s="30">
        <f>D173</f>
        <v>1000000</v>
      </c>
      <c r="J85" s="30">
        <f>G173</f>
        <v>1000000</v>
      </c>
    </row>
    <row r="87" spans="1:12" ht="12.75">
      <c r="A87" t="s">
        <v>50</v>
      </c>
      <c r="B87" s="8"/>
      <c r="C87" s="33" t="s">
        <v>108</v>
      </c>
      <c r="D87" s="8"/>
      <c r="F87" s="31">
        <f>B175</f>
        <v>1512000</v>
      </c>
      <c r="G87" s="56">
        <f>F87/F88</f>
        <v>1.512</v>
      </c>
      <c r="H87" s="32">
        <f>D175</f>
        <v>1813500</v>
      </c>
      <c r="I87" s="29">
        <f>H87/H88</f>
        <v>1.8135</v>
      </c>
      <c r="J87" s="31">
        <f>G175</f>
        <v>1927500</v>
      </c>
      <c r="K87" s="56">
        <f>J87/J88</f>
        <v>1.9275</v>
      </c>
      <c r="L87" s="2" t="s">
        <v>112</v>
      </c>
    </row>
    <row r="88" spans="3:10" ht="12.75">
      <c r="C88" s="2" t="s">
        <v>107</v>
      </c>
      <c r="F88" s="30">
        <f>B173</f>
        <v>1000000</v>
      </c>
      <c r="H88" s="30">
        <f>D266</f>
        <v>1000000</v>
      </c>
      <c r="J88" s="30">
        <f>G173</f>
        <v>1000000</v>
      </c>
    </row>
    <row r="89" ht="10.5" customHeight="1"/>
    <row r="90" s="9" customFormat="1" ht="12.75"/>
    <row r="92" spans="1:35" ht="15.75">
      <c r="A92" s="10" t="s">
        <v>33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4" spans="1:8" ht="12.75">
      <c r="A94" s="173" t="s">
        <v>0</v>
      </c>
      <c r="B94" s="173"/>
      <c r="C94" s="173"/>
      <c r="D94" s="173"/>
      <c r="E94" s="173"/>
      <c r="F94" s="173"/>
      <c r="G94" s="173"/>
      <c r="H94" s="173"/>
    </row>
    <row r="95" spans="1:8" ht="12.75">
      <c r="A95" s="22"/>
      <c r="B95" s="19">
        <v>2003</v>
      </c>
      <c r="C95" s="19"/>
      <c r="D95" s="19">
        <v>2004</v>
      </c>
      <c r="E95" s="19"/>
      <c r="F95" s="19"/>
      <c r="G95" s="19">
        <v>2005</v>
      </c>
      <c r="H95" s="22"/>
    </row>
    <row r="96" spans="1:8" ht="12.75">
      <c r="A96" s="20"/>
      <c r="B96" s="21"/>
      <c r="C96" s="21"/>
      <c r="D96" s="21"/>
      <c r="E96" s="21"/>
      <c r="F96" s="21"/>
      <c r="G96" s="21"/>
      <c r="H96" s="20"/>
    </row>
    <row r="97" ht="12.75">
      <c r="A97" s="18" t="s">
        <v>55</v>
      </c>
    </row>
    <row r="98" ht="12.75">
      <c r="A98" s="18"/>
    </row>
    <row r="99" ht="12.75">
      <c r="A99" s="23" t="s">
        <v>51</v>
      </c>
    </row>
    <row r="100" spans="1:8" ht="12.75">
      <c r="A100" t="s">
        <v>1</v>
      </c>
      <c r="B100" s="11">
        <v>1469000</v>
      </c>
      <c r="C100" s="83">
        <f>B100/B100</f>
        <v>1</v>
      </c>
      <c r="D100" s="11">
        <v>2032500</v>
      </c>
      <c r="E100" s="11"/>
      <c r="F100" s="83">
        <f>D100/B100</f>
        <v>1.3835942818243703</v>
      </c>
      <c r="G100" s="11">
        <v>2460000</v>
      </c>
      <c r="H100" s="83">
        <f>G100/B100</f>
        <v>1.6746085772634445</v>
      </c>
    </row>
    <row r="101" spans="1:8" ht="12.75">
      <c r="A101" t="s">
        <v>2</v>
      </c>
      <c r="B101" s="12">
        <v>9000000</v>
      </c>
      <c r="C101" s="83">
        <f aca="true" t="shared" si="0" ref="C101:C132">B101/B101</f>
        <v>1</v>
      </c>
      <c r="D101" s="12">
        <v>9375000</v>
      </c>
      <c r="E101" s="12"/>
      <c r="F101" s="83">
        <f aca="true" t="shared" si="1" ref="F101:F132">D101/B101</f>
        <v>1.0416666666666667</v>
      </c>
      <c r="G101" s="12">
        <v>9750000</v>
      </c>
      <c r="H101" s="83">
        <f aca="true" t="shared" si="2" ref="H101:H132">G101/B101</f>
        <v>1.0833333333333333</v>
      </c>
    </row>
    <row r="102" spans="1:8" ht="12.75">
      <c r="A102" t="s">
        <v>3</v>
      </c>
      <c r="B102" s="13">
        <v>4125000</v>
      </c>
      <c r="C102" s="84">
        <f t="shared" si="0"/>
        <v>1</v>
      </c>
      <c r="D102" s="13">
        <v>4625000</v>
      </c>
      <c r="E102" s="13"/>
      <c r="F102" s="84">
        <f t="shared" si="1"/>
        <v>1.121212121212121</v>
      </c>
      <c r="G102" s="13">
        <v>5250000</v>
      </c>
      <c r="H102" s="84">
        <f t="shared" si="2"/>
        <v>1.2727272727272727</v>
      </c>
    </row>
    <row r="103" spans="1:8" ht="12.75">
      <c r="A103" t="s">
        <v>52</v>
      </c>
      <c r="B103" s="12">
        <f>SUM(B100:B102)</f>
        <v>14594000</v>
      </c>
      <c r="C103" s="83">
        <f t="shared" si="0"/>
        <v>1</v>
      </c>
      <c r="D103" s="12">
        <f>SUM(D100:D102)</f>
        <v>16032500</v>
      </c>
      <c r="E103" s="17"/>
      <c r="F103" s="83">
        <f t="shared" si="1"/>
        <v>1.0985679046183363</v>
      </c>
      <c r="G103" s="12">
        <f>SUM(G100:G102)</f>
        <v>17460000</v>
      </c>
      <c r="H103" s="83">
        <f t="shared" si="2"/>
        <v>1.1963820748252707</v>
      </c>
    </row>
    <row r="104" spans="2:8" ht="12.75">
      <c r="B104" s="12"/>
      <c r="C104" s="83"/>
      <c r="D104" s="12"/>
      <c r="E104" s="12"/>
      <c r="F104" s="83"/>
      <c r="G104" s="12"/>
      <c r="H104" s="83"/>
    </row>
    <row r="105" spans="1:8" ht="12.75">
      <c r="A105" s="23" t="s">
        <v>53</v>
      </c>
      <c r="B105" s="12"/>
      <c r="C105" s="83"/>
      <c r="D105" s="12"/>
      <c r="E105" s="12"/>
      <c r="F105" s="83"/>
      <c r="G105" s="12"/>
      <c r="H105" s="83"/>
    </row>
    <row r="106" spans="1:8" ht="12.75">
      <c r="A106" t="s">
        <v>23</v>
      </c>
      <c r="B106" s="12">
        <v>19000000</v>
      </c>
      <c r="C106" s="83">
        <f t="shared" si="0"/>
        <v>1</v>
      </c>
      <c r="D106" s="12">
        <v>18375000</v>
      </c>
      <c r="E106" s="12"/>
      <c r="F106" s="83">
        <f t="shared" si="1"/>
        <v>0.9671052631578947</v>
      </c>
      <c r="G106" s="12">
        <v>17500000</v>
      </c>
      <c r="H106" s="83">
        <f t="shared" si="2"/>
        <v>0.9210526315789473</v>
      </c>
    </row>
    <row r="107" spans="1:8" ht="12.75">
      <c r="A107" t="s">
        <v>24</v>
      </c>
      <c r="B107" s="13">
        <v>16000000</v>
      </c>
      <c r="C107" s="84">
        <f t="shared" si="0"/>
        <v>1</v>
      </c>
      <c r="D107" s="13">
        <v>15375000</v>
      </c>
      <c r="E107" s="13"/>
      <c r="F107" s="84">
        <f t="shared" si="1"/>
        <v>0.9609375</v>
      </c>
      <c r="G107" s="13">
        <v>14750000</v>
      </c>
      <c r="H107" s="84">
        <f t="shared" si="2"/>
        <v>0.921875</v>
      </c>
    </row>
    <row r="108" spans="1:8" ht="12.75">
      <c r="A108" t="s">
        <v>54</v>
      </c>
      <c r="B108" s="17">
        <f>SUM(B106:B107)</f>
        <v>35000000</v>
      </c>
      <c r="C108" s="83">
        <f t="shared" si="0"/>
        <v>1</v>
      </c>
      <c r="D108" s="17">
        <f>SUM(D106:D107)</f>
        <v>33750000</v>
      </c>
      <c r="E108" s="17"/>
      <c r="F108" s="83">
        <f t="shared" si="1"/>
        <v>0.9642857142857143</v>
      </c>
      <c r="G108" s="17">
        <f>SUM(G106:G107)</f>
        <v>32250000</v>
      </c>
      <c r="H108" s="83">
        <f t="shared" si="2"/>
        <v>0.9214285714285714</v>
      </c>
    </row>
    <row r="109" spans="2:8" ht="12.75">
      <c r="B109" s="17"/>
      <c r="C109" s="83"/>
      <c r="D109" s="17"/>
      <c r="E109" s="17"/>
      <c r="F109" s="83"/>
      <c r="G109" s="17"/>
      <c r="H109" s="83"/>
    </row>
    <row r="110" spans="1:8" ht="13.5" thickBot="1">
      <c r="A110" s="24" t="s">
        <v>56</v>
      </c>
      <c r="B110" s="14">
        <f>B103+B108</f>
        <v>49594000</v>
      </c>
      <c r="C110" s="85">
        <f t="shared" si="0"/>
        <v>1</v>
      </c>
      <c r="D110" s="14">
        <f>D103+D108</f>
        <v>49782500</v>
      </c>
      <c r="E110" s="14"/>
      <c r="F110" s="85">
        <f t="shared" si="1"/>
        <v>1.0038008630076218</v>
      </c>
      <c r="G110" s="14">
        <f>G103+G108</f>
        <v>49710000</v>
      </c>
      <c r="H110" s="85">
        <f t="shared" si="2"/>
        <v>1.002338992620075</v>
      </c>
    </row>
    <row r="111" spans="2:8" ht="13.5" thickTop="1">
      <c r="B111" s="12"/>
      <c r="C111" s="83"/>
      <c r="D111" s="12"/>
      <c r="E111" s="12"/>
      <c r="F111" s="83"/>
      <c r="G111" s="12"/>
      <c r="H111" s="83"/>
    </row>
    <row r="112" spans="1:8" ht="12.75">
      <c r="A112" s="18" t="s">
        <v>57</v>
      </c>
      <c r="B112" s="12"/>
      <c r="C112" s="83"/>
      <c r="D112" s="12"/>
      <c r="E112" s="12"/>
      <c r="F112" s="83"/>
      <c r="G112" s="12"/>
      <c r="H112" s="83"/>
    </row>
    <row r="113" spans="1:8" ht="12.75">
      <c r="A113" s="18"/>
      <c r="B113" s="12"/>
      <c r="C113" s="83"/>
      <c r="D113" s="12"/>
      <c r="E113" s="12"/>
      <c r="F113" s="83"/>
      <c r="G113" s="12"/>
      <c r="H113" s="83"/>
    </row>
    <row r="114" spans="1:8" ht="12.75">
      <c r="A114" s="23" t="s">
        <v>30</v>
      </c>
      <c r="B114" s="12"/>
      <c r="C114" s="83"/>
      <c r="D114" s="12"/>
      <c r="E114" s="12"/>
      <c r="F114" s="83"/>
      <c r="G114" s="12"/>
      <c r="H114" s="83"/>
    </row>
    <row r="115" spans="1:8" ht="12.75">
      <c r="A115" t="s">
        <v>5</v>
      </c>
      <c r="B115" s="12">
        <v>1500000</v>
      </c>
      <c r="C115" s="83">
        <f t="shared" si="0"/>
        <v>1</v>
      </c>
      <c r="D115" s="12">
        <v>2250000</v>
      </c>
      <c r="E115" s="12"/>
      <c r="F115" s="83">
        <f t="shared" si="1"/>
        <v>1.5</v>
      </c>
      <c r="G115" s="12">
        <v>2500000</v>
      </c>
      <c r="H115" s="83">
        <f t="shared" si="2"/>
        <v>1.6666666666666667</v>
      </c>
    </row>
    <row r="116" spans="1:8" ht="12.75">
      <c r="A116" t="s">
        <v>6</v>
      </c>
      <c r="B116" s="12">
        <v>2500000</v>
      </c>
      <c r="C116" s="83">
        <f t="shared" si="0"/>
        <v>1</v>
      </c>
      <c r="D116" s="12">
        <v>2500000</v>
      </c>
      <c r="E116" s="12"/>
      <c r="F116" s="83">
        <f t="shared" si="1"/>
        <v>1</v>
      </c>
      <c r="G116" s="12">
        <v>2500000</v>
      </c>
      <c r="H116" s="83">
        <f t="shared" si="2"/>
        <v>1</v>
      </c>
    </row>
    <row r="117" spans="1:8" ht="12.75">
      <c r="A117" t="s">
        <v>7</v>
      </c>
      <c r="B117" s="13">
        <v>3375000</v>
      </c>
      <c r="C117" s="84">
        <f t="shared" si="0"/>
        <v>1</v>
      </c>
      <c r="D117" s="13">
        <v>3500000</v>
      </c>
      <c r="E117" s="13"/>
      <c r="F117" s="84">
        <f t="shared" si="1"/>
        <v>1.037037037037037</v>
      </c>
      <c r="G117" s="13">
        <v>3750000</v>
      </c>
      <c r="H117" s="84">
        <f t="shared" si="2"/>
        <v>1.1111111111111112</v>
      </c>
    </row>
    <row r="118" spans="1:8" ht="12.75">
      <c r="A118" t="s">
        <v>58</v>
      </c>
      <c r="B118" s="12">
        <f>SUM(B115:B117)</f>
        <v>7375000</v>
      </c>
      <c r="C118" s="83">
        <f t="shared" si="0"/>
        <v>1</v>
      </c>
      <c r="D118" s="12">
        <f>SUM(D115:D117)</f>
        <v>8250000</v>
      </c>
      <c r="E118" s="12"/>
      <c r="F118" s="83">
        <f t="shared" si="1"/>
        <v>1.11864406779661</v>
      </c>
      <c r="G118" s="12">
        <f>SUM(G115:G117)</f>
        <v>8750000</v>
      </c>
      <c r="H118" s="83">
        <f t="shared" si="2"/>
        <v>1.1864406779661016</v>
      </c>
    </row>
    <row r="119" spans="2:8" ht="12.75">
      <c r="B119" s="12"/>
      <c r="C119" s="83"/>
      <c r="D119" s="12"/>
      <c r="E119" s="12"/>
      <c r="F119" s="83"/>
      <c r="G119" s="12"/>
      <c r="H119" s="83"/>
    </row>
    <row r="120" spans="1:8" ht="12.75">
      <c r="A120" s="23" t="s">
        <v>59</v>
      </c>
      <c r="B120" s="12"/>
      <c r="C120" s="83"/>
      <c r="D120" s="12"/>
      <c r="E120" s="12"/>
      <c r="F120" s="83"/>
      <c r="G120" s="12"/>
      <c r="H120" s="83"/>
    </row>
    <row r="121" spans="1:8" ht="12.75">
      <c r="A121" t="s">
        <v>8</v>
      </c>
      <c r="B121" s="12">
        <v>10000000</v>
      </c>
      <c r="C121" s="83">
        <f t="shared" si="0"/>
        <v>1</v>
      </c>
      <c r="D121" s="12">
        <v>7500000</v>
      </c>
      <c r="E121" s="12"/>
      <c r="F121" s="83">
        <f t="shared" si="1"/>
        <v>0.75</v>
      </c>
      <c r="G121" s="12">
        <v>5000000</v>
      </c>
      <c r="H121" s="83">
        <f t="shared" si="2"/>
        <v>0.5</v>
      </c>
    </row>
    <row r="122" spans="1:8" ht="12.75">
      <c r="A122" t="s">
        <v>9</v>
      </c>
      <c r="B122" s="13">
        <v>5000000</v>
      </c>
      <c r="C122" s="84">
        <f t="shared" si="0"/>
        <v>1</v>
      </c>
      <c r="D122" s="13">
        <v>5000000</v>
      </c>
      <c r="E122" s="13"/>
      <c r="F122" s="84">
        <f t="shared" si="1"/>
        <v>1</v>
      </c>
      <c r="G122" s="13">
        <v>5000000</v>
      </c>
      <c r="H122" s="84">
        <f t="shared" si="2"/>
        <v>1</v>
      </c>
    </row>
    <row r="123" spans="1:8" ht="12.75">
      <c r="A123" t="s">
        <v>60</v>
      </c>
      <c r="B123" s="12">
        <f>SUM(B121:B122)</f>
        <v>15000000</v>
      </c>
      <c r="C123" s="83">
        <f t="shared" si="0"/>
        <v>1</v>
      </c>
      <c r="D123" s="12">
        <f>SUM(D121:D122)</f>
        <v>12500000</v>
      </c>
      <c r="E123" s="12"/>
      <c r="F123" s="83">
        <f t="shared" si="1"/>
        <v>0.8333333333333334</v>
      </c>
      <c r="G123" s="12">
        <f>SUM(G121:G122)</f>
        <v>10000000</v>
      </c>
      <c r="H123" s="83">
        <f t="shared" si="2"/>
        <v>0.6666666666666666</v>
      </c>
    </row>
    <row r="124" spans="2:8" ht="12.75">
      <c r="B124" s="12"/>
      <c r="C124" s="83"/>
      <c r="D124" s="12"/>
      <c r="E124" s="12"/>
      <c r="F124" s="83"/>
      <c r="G124" s="12"/>
      <c r="H124" s="83"/>
    </row>
    <row r="125" spans="1:8" ht="13.5" thickBot="1">
      <c r="A125" s="24" t="s">
        <v>10</v>
      </c>
      <c r="B125" s="14">
        <f>B118+B123</f>
        <v>22375000</v>
      </c>
      <c r="C125" s="85">
        <f t="shared" si="0"/>
        <v>1</v>
      </c>
      <c r="D125" s="14">
        <f>D118+D123</f>
        <v>20750000</v>
      </c>
      <c r="E125" s="14"/>
      <c r="F125" s="85">
        <f t="shared" si="1"/>
        <v>0.9273743016759777</v>
      </c>
      <c r="G125" s="14">
        <f>G118+G123</f>
        <v>18750000</v>
      </c>
      <c r="H125" s="85">
        <f t="shared" si="2"/>
        <v>0.8379888268156425</v>
      </c>
    </row>
    <row r="126" spans="2:8" ht="13.5" thickTop="1">
      <c r="B126" s="12"/>
      <c r="C126" s="83"/>
      <c r="D126" s="12"/>
      <c r="E126" s="12"/>
      <c r="F126" s="83"/>
      <c r="G126" s="12"/>
      <c r="H126" s="83"/>
    </row>
    <row r="127" spans="1:8" ht="12.75">
      <c r="A127" s="23" t="s">
        <v>61</v>
      </c>
      <c r="B127" s="12"/>
      <c r="C127" s="83"/>
      <c r="D127" s="12"/>
      <c r="E127" s="12"/>
      <c r="F127" s="83"/>
      <c r="G127" s="12"/>
      <c r="H127" s="83"/>
    </row>
    <row r="128" spans="1:8" ht="12.75">
      <c r="A128" t="s">
        <v>11</v>
      </c>
      <c r="B128" s="12">
        <v>9587500</v>
      </c>
      <c r="C128" s="83">
        <f t="shared" si="0"/>
        <v>1</v>
      </c>
      <c r="D128" s="12">
        <v>9587500</v>
      </c>
      <c r="E128" s="12"/>
      <c r="F128" s="83">
        <f t="shared" si="1"/>
        <v>1</v>
      </c>
      <c r="G128" s="12">
        <v>9587500</v>
      </c>
      <c r="H128" s="83">
        <f t="shared" si="2"/>
        <v>1</v>
      </c>
    </row>
    <row r="129" spans="1:8" ht="12.75">
      <c r="A129" t="s">
        <v>12</v>
      </c>
      <c r="B129" s="13">
        <v>17631500</v>
      </c>
      <c r="C129" s="84">
        <f t="shared" si="0"/>
        <v>1</v>
      </c>
      <c r="D129" s="13">
        <v>19445000</v>
      </c>
      <c r="E129" s="13"/>
      <c r="F129" s="84">
        <f t="shared" si="1"/>
        <v>1.1028556844284378</v>
      </c>
      <c r="G129" s="13">
        <v>21372500</v>
      </c>
      <c r="H129" s="84">
        <f t="shared" si="2"/>
        <v>1.2121770694495646</v>
      </c>
    </row>
    <row r="130" spans="1:8" ht="12.75">
      <c r="A130" t="s">
        <v>62</v>
      </c>
      <c r="B130" s="12">
        <f>SUM(B128:B129)</f>
        <v>27219000</v>
      </c>
      <c r="C130" s="83">
        <f t="shared" si="0"/>
        <v>1</v>
      </c>
      <c r="D130" s="12">
        <f>SUM(D128:D129)</f>
        <v>29032500</v>
      </c>
      <c r="E130" s="12"/>
      <c r="F130" s="83">
        <f t="shared" si="1"/>
        <v>1.066626253719828</v>
      </c>
      <c r="G130" s="12">
        <f>SUM(G128:G129)</f>
        <v>30960000</v>
      </c>
      <c r="H130" s="83">
        <f t="shared" si="2"/>
        <v>1.1374407582938388</v>
      </c>
    </row>
    <row r="131" spans="2:8" ht="12.75">
      <c r="B131" s="12"/>
      <c r="C131" s="83"/>
      <c r="D131" s="12"/>
      <c r="E131" s="12"/>
      <c r="F131" s="83"/>
      <c r="G131" s="12"/>
      <c r="H131" s="83"/>
    </row>
    <row r="132" spans="1:8" ht="13.5" thickBot="1">
      <c r="A132" s="24" t="s">
        <v>63</v>
      </c>
      <c r="B132" s="15">
        <f>B125+B130</f>
        <v>49594000</v>
      </c>
      <c r="C132" s="85">
        <f t="shared" si="0"/>
        <v>1</v>
      </c>
      <c r="D132" s="25">
        <f>D125+D130</f>
        <v>49782500</v>
      </c>
      <c r="E132" s="25"/>
      <c r="F132" s="85">
        <f t="shared" si="1"/>
        <v>1.0038008630076218</v>
      </c>
      <c r="G132" s="15">
        <f>G125+G130</f>
        <v>49710000</v>
      </c>
      <c r="H132" s="85">
        <f t="shared" si="2"/>
        <v>1.002338992620075</v>
      </c>
    </row>
    <row r="133" spans="1:8" ht="13.5" thickTop="1">
      <c r="A133" s="38"/>
      <c r="B133" s="39"/>
      <c r="C133" s="39"/>
      <c r="D133" s="40"/>
      <c r="E133" s="40"/>
      <c r="F133" s="39"/>
      <c r="G133" s="39"/>
      <c r="H133" s="20"/>
    </row>
    <row r="134" spans="1:8" ht="12.75">
      <c r="A134" s="38" t="s">
        <v>82</v>
      </c>
      <c r="B134" s="39"/>
      <c r="C134" s="39"/>
      <c r="D134" s="40"/>
      <c r="E134" s="40"/>
      <c r="F134" s="39"/>
      <c r="G134" s="39"/>
      <c r="H134" s="20"/>
    </row>
    <row r="135" spans="1:8" ht="12.75">
      <c r="A135" s="38"/>
      <c r="B135" s="39"/>
      <c r="C135" s="39"/>
      <c r="D135" s="40"/>
      <c r="E135" s="40"/>
      <c r="F135" s="39"/>
      <c r="G135" s="39"/>
      <c r="H135" s="20"/>
    </row>
    <row r="136" spans="1:8" ht="12.75">
      <c r="A136" s="44" t="s">
        <v>83</v>
      </c>
      <c r="B136" s="39"/>
      <c r="C136" s="39"/>
      <c r="D136" s="40"/>
      <c r="E136" s="40"/>
      <c r="F136" s="39"/>
      <c r="G136" s="39"/>
      <c r="H136" s="20"/>
    </row>
    <row r="137" spans="1:8" ht="12.75">
      <c r="A137" s="41" t="s">
        <v>84</v>
      </c>
      <c r="B137" s="49">
        <v>15000000</v>
      </c>
      <c r="C137" s="39"/>
      <c r="D137" s="40"/>
      <c r="E137" s="40"/>
      <c r="F137" s="39"/>
      <c r="G137" s="39"/>
      <c r="H137" s="20"/>
    </row>
    <row r="138" spans="1:8" ht="12.75">
      <c r="A138" s="41" t="s">
        <v>85</v>
      </c>
      <c r="B138" s="50">
        <v>7500000</v>
      </c>
      <c r="C138" s="39"/>
      <c r="D138" s="40"/>
      <c r="E138" s="40"/>
      <c r="F138" s="39"/>
      <c r="G138" s="39"/>
      <c r="H138" s="20"/>
    </row>
    <row r="139" spans="1:2" ht="12.75">
      <c r="A139" s="42" t="s">
        <v>86</v>
      </c>
      <c r="B139" s="36">
        <v>0.06</v>
      </c>
    </row>
    <row r="140" spans="1:8" ht="12.75">
      <c r="A140" s="43" t="s">
        <v>87</v>
      </c>
      <c r="B140" s="45">
        <v>2500000</v>
      </c>
      <c r="C140" s="16"/>
      <c r="D140" s="16"/>
      <c r="E140" s="16"/>
      <c r="F140" s="16"/>
      <c r="G140" s="16"/>
      <c r="H140" s="16"/>
    </row>
    <row r="141" spans="1:8" ht="12.75">
      <c r="A141" s="43" t="s">
        <v>88</v>
      </c>
      <c r="B141" s="47">
        <v>2008</v>
      </c>
      <c r="C141" s="16"/>
      <c r="D141" s="16"/>
      <c r="E141" s="16"/>
      <c r="F141" s="16"/>
      <c r="G141" s="16"/>
      <c r="H141" s="16"/>
    </row>
    <row r="142" spans="1:8" ht="12.75">
      <c r="A142" s="43" t="s">
        <v>89</v>
      </c>
      <c r="B142" s="46" t="s">
        <v>90</v>
      </c>
      <c r="C142" s="16"/>
      <c r="D142" s="16"/>
      <c r="E142" s="16"/>
      <c r="F142" s="16"/>
      <c r="G142" s="16"/>
      <c r="H142" s="16"/>
    </row>
    <row r="143" spans="1:8" ht="12.75">
      <c r="A143" s="16"/>
      <c r="B143" s="16"/>
      <c r="C143" s="16"/>
      <c r="D143" s="16"/>
      <c r="E143" s="16"/>
      <c r="F143" s="16"/>
      <c r="G143" s="16"/>
      <c r="H143" s="16"/>
    </row>
    <row r="144" spans="1:8" ht="12.75">
      <c r="A144" s="48" t="s">
        <v>91</v>
      </c>
      <c r="B144" s="16"/>
      <c r="C144" s="16"/>
      <c r="D144" s="16"/>
      <c r="E144" s="16"/>
      <c r="F144" s="16"/>
      <c r="G144" s="16"/>
      <c r="H144" s="16"/>
    </row>
    <row r="145" spans="1:8" ht="12.75">
      <c r="A145" s="41" t="s">
        <v>84</v>
      </c>
      <c r="B145" s="45">
        <v>5000000</v>
      </c>
      <c r="C145" s="16"/>
      <c r="D145" s="16"/>
      <c r="E145" s="16"/>
      <c r="F145" s="16"/>
      <c r="G145" s="16"/>
      <c r="H145" s="16"/>
    </row>
    <row r="146" spans="1:8" ht="12.75">
      <c r="A146" s="41" t="s">
        <v>85</v>
      </c>
      <c r="B146" s="45">
        <v>5000000</v>
      </c>
      <c r="C146" s="16"/>
      <c r="D146" s="16"/>
      <c r="E146" s="16"/>
      <c r="F146" s="16"/>
      <c r="G146" s="16"/>
      <c r="H146" s="16"/>
    </row>
    <row r="147" spans="1:8" ht="12.75">
      <c r="A147" s="42" t="s">
        <v>86</v>
      </c>
      <c r="B147" s="51">
        <v>0.075</v>
      </c>
      <c r="C147" s="16"/>
      <c r="D147" s="16"/>
      <c r="E147" s="16"/>
      <c r="F147" s="16"/>
      <c r="G147" s="16"/>
      <c r="H147" s="16"/>
    </row>
    <row r="148" spans="1:8" ht="12.75">
      <c r="A148" s="43" t="s">
        <v>87</v>
      </c>
      <c r="B148" s="45">
        <v>500000</v>
      </c>
      <c r="C148" s="16"/>
      <c r="D148" s="16"/>
      <c r="E148" s="16"/>
      <c r="F148" s="16"/>
      <c r="G148" s="16"/>
      <c r="H148" s="16"/>
    </row>
    <row r="149" spans="1:8" ht="12.75">
      <c r="A149" s="43" t="s">
        <v>92</v>
      </c>
      <c r="B149" s="52">
        <v>2010</v>
      </c>
      <c r="C149" s="16"/>
      <c r="D149" s="16"/>
      <c r="E149" s="16"/>
      <c r="F149" s="16"/>
      <c r="G149" s="16"/>
      <c r="H149" s="16"/>
    </row>
    <row r="150" spans="1:8" ht="12.75">
      <c r="A150" s="43" t="s">
        <v>88</v>
      </c>
      <c r="B150" s="52">
        <v>2019</v>
      </c>
      <c r="C150" s="16"/>
      <c r="D150" s="16"/>
      <c r="E150" s="16"/>
      <c r="F150" s="16"/>
      <c r="G150" s="16"/>
      <c r="H150" s="16"/>
    </row>
    <row r="151" spans="1:8" ht="12.75">
      <c r="A151" s="43" t="s">
        <v>89</v>
      </c>
      <c r="B151" s="46" t="s">
        <v>90</v>
      </c>
      <c r="C151" s="16"/>
      <c r="D151" s="16"/>
      <c r="E151" s="16"/>
      <c r="F151" s="16"/>
      <c r="G151" s="16"/>
      <c r="H151" s="16"/>
    </row>
    <row r="152" spans="1:8" ht="12.75">
      <c r="A152" s="43"/>
      <c r="B152" s="46"/>
      <c r="C152" s="16"/>
      <c r="D152" s="16"/>
      <c r="E152" s="16"/>
      <c r="F152" s="16"/>
      <c r="G152" s="16"/>
      <c r="H152" s="16"/>
    </row>
    <row r="153" s="53" customFormat="1" ht="12.75">
      <c r="B153" s="54"/>
    </row>
    <row r="155" spans="1:8" ht="12.75">
      <c r="A155" s="173" t="s">
        <v>13</v>
      </c>
      <c r="B155" s="173"/>
      <c r="C155" s="173"/>
      <c r="D155" s="173"/>
      <c r="E155" s="173"/>
      <c r="F155" s="173"/>
      <c r="G155" s="173"/>
      <c r="H155" s="173"/>
    </row>
    <row r="156" spans="1:8" ht="12.75">
      <c r="A156" s="22"/>
      <c r="B156" s="19">
        <v>2003</v>
      </c>
      <c r="C156" s="19"/>
      <c r="D156" s="19">
        <v>2004</v>
      </c>
      <c r="E156" s="19"/>
      <c r="F156" s="19"/>
      <c r="G156" s="19">
        <v>2005</v>
      </c>
      <c r="H156" s="22"/>
    </row>
    <row r="158" spans="1:8" ht="12.75">
      <c r="A158" t="s">
        <v>14</v>
      </c>
      <c r="B158" s="11">
        <v>41250000</v>
      </c>
      <c r="C158" s="83">
        <v>1</v>
      </c>
      <c r="D158" s="11">
        <v>46250000</v>
      </c>
      <c r="E158" s="11"/>
      <c r="F158" s="83">
        <f>D158/B158</f>
        <v>1.121212121212121</v>
      </c>
      <c r="G158" s="11">
        <v>50000000</v>
      </c>
      <c r="H158" s="83">
        <f>G158/B158</f>
        <v>1.2121212121212122</v>
      </c>
    </row>
    <row r="159" spans="1:8" ht="12.75">
      <c r="A159" t="s">
        <v>15</v>
      </c>
      <c r="B159" s="13">
        <v>-28875000</v>
      </c>
      <c r="C159" s="84">
        <v>1</v>
      </c>
      <c r="D159" s="13">
        <v>-32375000</v>
      </c>
      <c r="E159" s="13"/>
      <c r="F159" s="84">
        <f aca="true" t="shared" si="3" ref="F159:F176">D159/B159</f>
        <v>1.121212121212121</v>
      </c>
      <c r="G159" s="13">
        <v>-35000000</v>
      </c>
      <c r="H159" s="84">
        <f aca="true" t="shared" si="4" ref="H159:H176">G159/B159</f>
        <v>1.2121212121212122</v>
      </c>
    </row>
    <row r="160" spans="1:8" ht="12.75">
      <c r="A160" t="s">
        <v>16</v>
      </c>
      <c r="B160" s="12">
        <f>SUM(B158:B159)</f>
        <v>12375000</v>
      </c>
      <c r="C160" s="83">
        <v>1</v>
      </c>
      <c r="D160" s="12">
        <f>SUM(D158:D159)</f>
        <v>13875000</v>
      </c>
      <c r="E160" s="12"/>
      <c r="F160" s="83">
        <f t="shared" si="3"/>
        <v>1.121212121212121</v>
      </c>
      <c r="G160" s="12">
        <f>SUM(G158:G159)</f>
        <v>15000000</v>
      </c>
      <c r="H160" s="83">
        <f t="shared" si="4"/>
        <v>1.2121212121212122</v>
      </c>
    </row>
    <row r="161" spans="2:8" ht="12.75">
      <c r="B161" s="12"/>
      <c r="C161" s="83"/>
      <c r="D161" s="12"/>
      <c r="E161" s="12"/>
      <c r="F161" s="83"/>
      <c r="G161" s="12"/>
      <c r="H161" s="83"/>
    </row>
    <row r="162" spans="1:8" ht="12.75">
      <c r="A162" t="s">
        <v>111</v>
      </c>
      <c r="B162" s="12">
        <v>-4560000</v>
      </c>
      <c r="C162" s="83">
        <v>1</v>
      </c>
      <c r="D162" s="12">
        <v>-5205000</v>
      </c>
      <c r="E162" s="12"/>
      <c r="F162" s="83">
        <f t="shared" si="3"/>
        <v>1.1414473684210527</v>
      </c>
      <c r="G162" s="12">
        <v>-5850000</v>
      </c>
      <c r="H162" s="83">
        <f t="shared" si="4"/>
        <v>1.2828947368421053</v>
      </c>
    </row>
    <row r="163" spans="1:8" ht="12.75">
      <c r="A163" t="s">
        <v>17</v>
      </c>
      <c r="B163" s="13">
        <v>-1500000</v>
      </c>
      <c r="C163" s="84">
        <v>1</v>
      </c>
      <c r="D163" s="13">
        <v>-1500000</v>
      </c>
      <c r="E163" s="13"/>
      <c r="F163" s="84">
        <f t="shared" si="3"/>
        <v>1</v>
      </c>
      <c r="G163" s="13">
        <v>-1750000</v>
      </c>
      <c r="H163" s="84">
        <f t="shared" si="4"/>
        <v>1.1666666666666667</v>
      </c>
    </row>
    <row r="164" spans="1:8" ht="12.75">
      <c r="A164" t="s">
        <v>64</v>
      </c>
      <c r="B164" s="12">
        <f>SUM(B160:B163)</f>
        <v>6315000</v>
      </c>
      <c r="C164" s="83">
        <v>1</v>
      </c>
      <c r="D164" s="12">
        <f>SUM(D160:D163)</f>
        <v>7170000</v>
      </c>
      <c r="E164" s="12"/>
      <c r="F164" s="83">
        <f t="shared" si="3"/>
        <v>1.1353919239904988</v>
      </c>
      <c r="G164" s="12">
        <f>SUM(G160:G163)</f>
        <v>7400000</v>
      </c>
      <c r="H164" s="83">
        <f t="shared" si="4"/>
        <v>1.1718131433095804</v>
      </c>
    </row>
    <row r="165" spans="2:8" ht="12.75">
      <c r="B165" s="12"/>
      <c r="C165" s="83"/>
      <c r="D165" s="12"/>
      <c r="E165" s="12"/>
      <c r="F165" s="83"/>
      <c r="G165" s="12"/>
      <c r="H165" s="83"/>
    </row>
    <row r="166" spans="1:8" ht="12.75">
      <c r="A166" t="s">
        <v>18</v>
      </c>
      <c r="B166" s="13">
        <v>-1275000</v>
      </c>
      <c r="C166" s="84">
        <v>1</v>
      </c>
      <c r="D166" s="13">
        <v>-1125000</v>
      </c>
      <c r="E166" s="13"/>
      <c r="F166" s="84">
        <f t="shared" si="3"/>
        <v>0.8823529411764706</v>
      </c>
      <c r="G166" s="13">
        <v>-975000</v>
      </c>
      <c r="H166" s="84">
        <f t="shared" si="4"/>
        <v>0.7647058823529411</v>
      </c>
    </row>
    <row r="167" spans="1:8" ht="12.75">
      <c r="A167" t="s">
        <v>65</v>
      </c>
      <c r="B167" s="12">
        <f>SUM(B164:B166)</f>
        <v>5040000</v>
      </c>
      <c r="C167" s="83">
        <v>1</v>
      </c>
      <c r="D167" s="12">
        <f>SUM(D164:D166)</f>
        <v>6045000</v>
      </c>
      <c r="E167" s="12"/>
      <c r="F167" s="83">
        <f t="shared" si="3"/>
        <v>1.1994047619047619</v>
      </c>
      <c r="G167" s="12">
        <f>SUM(G164:G166)</f>
        <v>6425000</v>
      </c>
      <c r="H167" s="83">
        <f t="shared" si="4"/>
        <v>1.2748015873015872</v>
      </c>
    </row>
    <row r="168" spans="2:8" ht="12.75">
      <c r="B168" s="12"/>
      <c r="C168" s="83"/>
      <c r="D168" s="12"/>
      <c r="E168" s="12"/>
      <c r="F168" s="83"/>
      <c r="G168" s="12"/>
      <c r="H168" s="83"/>
    </row>
    <row r="169" spans="1:8" ht="12.75">
      <c r="A169" t="s">
        <v>19</v>
      </c>
      <c r="B169" s="12">
        <v>-2016000</v>
      </c>
      <c r="C169" s="83">
        <v>1</v>
      </c>
      <c r="D169" s="12">
        <v>-2418000</v>
      </c>
      <c r="E169" s="12"/>
      <c r="F169" s="83">
        <f t="shared" si="3"/>
        <v>1.1994047619047619</v>
      </c>
      <c r="G169" s="12">
        <v>-2570000</v>
      </c>
      <c r="H169" s="83">
        <f t="shared" si="4"/>
        <v>1.2748015873015872</v>
      </c>
    </row>
    <row r="170" spans="3:8" ht="12.75">
      <c r="C170" s="83"/>
      <c r="F170" s="83"/>
      <c r="H170" s="83"/>
    </row>
    <row r="171" spans="1:8" ht="13.5" thickBot="1">
      <c r="A171" s="24" t="s">
        <v>66</v>
      </c>
      <c r="B171" s="15">
        <f>SUM(B167:B170)</f>
        <v>3024000</v>
      </c>
      <c r="C171" s="85">
        <v>1</v>
      </c>
      <c r="D171" s="15">
        <f>SUM(D167:D170)</f>
        <v>3627000</v>
      </c>
      <c r="E171" s="15"/>
      <c r="F171" s="85">
        <f t="shared" si="3"/>
        <v>1.1994047619047619</v>
      </c>
      <c r="G171" s="15">
        <f>SUM(G167:G170)</f>
        <v>3855000</v>
      </c>
      <c r="H171" s="85">
        <f t="shared" si="4"/>
        <v>1.2748015873015872</v>
      </c>
    </row>
    <row r="172" spans="3:8" ht="13.5" thickTop="1">
      <c r="C172" s="36"/>
      <c r="F172" s="86"/>
      <c r="H172" s="83"/>
    </row>
    <row r="173" spans="1:8" ht="12.75">
      <c r="A173" t="s">
        <v>81</v>
      </c>
      <c r="B173" s="30">
        <v>1000000</v>
      </c>
      <c r="C173" s="36">
        <v>1</v>
      </c>
      <c r="D173" s="30">
        <v>1000000</v>
      </c>
      <c r="E173" s="30"/>
      <c r="F173" s="87">
        <f t="shared" si="3"/>
        <v>1</v>
      </c>
      <c r="G173" s="30">
        <v>1000000</v>
      </c>
      <c r="H173" s="83">
        <f t="shared" si="4"/>
        <v>1</v>
      </c>
    </row>
    <row r="174" spans="1:8" ht="12.75">
      <c r="A174" t="s">
        <v>20</v>
      </c>
      <c r="B174" s="34">
        <v>3.02</v>
      </c>
      <c r="C174" s="36">
        <v>1</v>
      </c>
      <c r="D174" s="34">
        <v>3.63</v>
      </c>
      <c r="E174" s="34"/>
      <c r="F174" s="87">
        <f t="shared" si="3"/>
        <v>1.2019867549668874</v>
      </c>
      <c r="G174" s="34">
        <v>3.86</v>
      </c>
      <c r="H174" s="83">
        <f t="shared" si="4"/>
        <v>1.2781456953642383</v>
      </c>
    </row>
    <row r="175" spans="1:8" ht="12.75">
      <c r="A175" t="s">
        <v>21</v>
      </c>
      <c r="B175" s="12">
        <v>1512000</v>
      </c>
      <c r="C175" s="36">
        <v>1</v>
      </c>
      <c r="D175" s="35">
        <v>1813500</v>
      </c>
      <c r="E175" s="35"/>
      <c r="F175" s="87">
        <f t="shared" si="3"/>
        <v>1.1994047619047619</v>
      </c>
      <c r="G175" s="12">
        <v>1927500</v>
      </c>
      <c r="H175" s="83">
        <f t="shared" si="4"/>
        <v>1.2748015873015872</v>
      </c>
    </row>
    <row r="176" spans="1:8" ht="12.75">
      <c r="A176" t="s">
        <v>22</v>
      </c>
      <c r="B176" s="12">
        <v>1512000</v>
      </c>
      <c r="C176" s="36">
        <v>1</v>
      </c>
      <c r="D176" s="35">
        <v>1813500</v>
      </c>
      <c r="E176" s="35"/>
      <c r="F176" s="87">
        <f t="shared" si="3"/>
        <v>1.1994047619047619</v>
      </c>
      <c r="G176" s="12">
        <v>1927500</v>
      </c>
      <c r="H176" s="83">
        <f t="shared" si="4"/>
        <v>1.2748015873015872</v>
      </c>
    </row>
    <row r="177" spans="2:7" ht="12.75">
      <c r="B177" s="12"/>
      <c r="C177" s="12"/>
      <c r="D177" s="35"/>
      <c r="E177" s="35"/>
      <c r="F177" s="12"/>
      <c r="G177" s="12"/>
    </row>
    <row r="178" spans="1:2" ht="12.75">
      <c r="A178" t="s">
        <v>115</v>
      </c>
      <c r="B178" s="28">
        <v>62</v>
      </c>
    </row>
    <row r="179" spans="1:2" ht="12.75">
      <c r="A179" t="s">
        <v>117</v>
      </c>
      <c r="B179" s="36">
        <v>0.6</v>
      </c>
    </row>
    <row r="181" spans="1:2" ht="12.75">
      <c r="A181" t="s">
        <v>116</v>
      </c>
      <c r="B181" s="28">
        <v>1.2</v>
      </c>
    </row>
    <row r="182" ht="12.75">
      <c r="B182" s="28"/>
    </row>
    <row r="183" s="9" customFormat="1" ht="12.75"/>
    <row r="184" spans="2:9" ht="12.75">
      <c r="B184" s="16"/>
      <c r="C184" s="16"/>
      <c r="D184" s="16"/>
      <c r="E184" s="16"/>
      <c r="F184" s="16"/>
      <c r="G184" s="16"/>
      <c r="H184" s="16"/>
      <c r="I184" s="16"/>
    </row>
    <row r="185" spans="1:9" ht="15.75">
      <c r="A185" s="10" t="s">
        <v>34</v>
      </c>
      <c r="B185" s="16"/>
      <c r="C185" s="16"/>
      <c r="D185" s="16"/>
      <c r="E185" s="16"/>
      <c r="F185" s="16"/>
      <c r="G185" s="16"/>
      <c r="H185" s="16"/>
      <c r="I185" s="16"/>
    </row>
    <row r="187" spans="1:8" ht="12.75">
      <c r="A187" s="173" t="s">
        <v>0</v>
      </c>
      <c r="B187" s="173"/>
      <c r="C187" s="173"/>
      <c r="D187" s="173"/>
      <c r="E187" s="173"/>
      <c r="F187" s="173"/>
      <c r="G187" s="173"/>
      <c r="H187" s="173"/>
    </row>
    <row r="188" spans="1:8" ht="12.75">
      <c r="A188" s="22"/>
      <c r="B188" s="19">
        <v>2003</v>
      </c>
      <c r="C188" s="19"/>
      <c r="D188" s="19">
        <v>2004</v>
      </c>
      <c r="E188" s="19"/>
      <c r="F188" s="19"/>
      <c r="G188" s="19">
        <v>2005</v>
      </c>
      <c r="H188" s="22"/>
    </row>
    <row r="189" spans="1:8" ht="12.75">
      <c r="A189" s="20"/>
      <c r="B189" s="21"/>
      <c r="C189" s="21"/>
      <c r="D189" s="21"/>
      <c r="E189" s="21"/>
      <c r="F189" s="21"/>
      <c r="G189" s="21"/>
      <c r="H189" s="20"/>
    </row>
    <row r="190" ht="12.75">
      <c r="A190" s="18" t="s">
        <v>55</v>
      </c>
    </row>
    <row r="191" ht="12.75">
      <c r="A191" s="18"/>
    </row>
    <row r="192" ht="12.75">
      <c r="A192" s="23" t="s">
        <v>51</v>
      </c>
    </row>
    <row r="193" spans="1:8" ht="12.75">
      <c r="A193" t="s">
        <v>1</v>
      </c>
      <c r="B193" s="11">
        <v>1469000</v>
      </c>
      <c r="C193" s="83">
        <f>B193/B$203</f>
        <v>0.029620518611122314</v>
      </c>
      <c r="D193" s="11">
        <v>2032500</v>
      </c>
      <c r="E193" s="11"/>
      <c r="F193" s="83">
        <f>D193/D$203</f>
        <v>0.04082760006026214</v>
      </c>
      <c r="G193" s="11">
        <v>2460000</v>
      </c>
      <c r="H193" s="83">
        <f>G193/G$203</f>
        <v>0.049487024743512374</v>
      </c>
    </row>
    <row r="194" spans="1:8" ht="12.75">
      <c r="A194" t="s">
        <v>2</v>
      </c>
      <c r="B194" s="12">
        <v>9000000</v>
      </c>
      <c r="C194" s="83">
        <f aca="true" t="shared" si="5" ref="C194:C201">B194/B$203</f>
        <v>0.18147356535064726</v>
      </c>
      <c r="D194" s="12">
        <v>9375000</v>
      </c>
      <c r="E194" s="12"/>
      <c r="F194" s="83">
        <f aca="true" t="shared" si="6" ref="F194:F201">D194/D$203</f>
        <v>0.18831918846984383</v>
      </c>
      <c r="G194" s="12">
        <v>9750000</v>
      </c>
      <c r="H194" s="83">
        <f aca="true" t="shared" si="7" ref="H194:H201">G194/G$203</f>
        <v>0.19613759806879905</v>
      </c>
    </row>
    <row r="195" spans="1:8" ht="12.75">
      <c r="A195" t="s">
        <v>3</v>
      </c>
      <c r="B195" s="13">
        <v>4125000</v>
      </c>
      <c r="C195" s="84">
        <f t="shared" si="5"/>
        <v>0.08317538411904665</v>
      </c>
      <c r="D195" s="13">
        <v>4625000</v>
      </c>
      <c r="E195" s="13"/>
      <c r="F195" s="84">
        <f t="shared" si="6"/>
        <v>0.09290413297845629</v>
      </c>
      <c r="G195" s="13">
        <v>5250000</v>
      </c>
      <c r="H195" s="84">
        <f t="shared" si="7"/>
        <v>0.1056125528062764</v>
      </c>
    </row>
    <row r="196" spans="1:8" ht="12.75">
      <c r="A196" t="s">
        <v>52</v>
      </c>
      <c r="B196" s="12">
        <f>SUM(B193:B195)</f>
        <v>14594000</v>
      </c>
      <c r="C196" s="83">
        <f t="shared" si="5"/>
        <v>0.2942694680808162</v>
      </c>
      <c r="D196" s="12">
        <f>SUM(D193:D195)</f>
        <v>16032500</v>
      </c>
      <c r="E196" s="12"/>
      <c r="F196" s="83">
        <f t="shared" si="6"/>
        <v>0.32205092150856224</v>
      </c>
      <c r="G196" s="12">
        <f>SUM(G193:G195)</f>
        <v>17460000</v>
      </c>
      <c r="H196" s="83">
        <f t="shared" si="7"/>
        <v>0.3512371756185878</v>
      </c>
    </row>
    <row r="197" spans="2:8" ht="12.75">
      <c r="B197" s="12"/>
      <c r="C197" s="83"/>
      <c r="D197" s="12"/>
      <c r="E197" s="12"/>
      <c r="F197" s="83"/>
      <c r="G197" s="12"/>
      <c r="H197" s="83"/>
    </row>
    <row r="198" spans="1:8" ht="12.75">
      <c r="A198" s="23" t="s">
        <v>53</v>
      </c>
      <c r="B198" s="12"/>
      <c r="C198" s="83"/>
      <c r="D198" s="12"/>
      <c r="E198" s="12"/>
      <c r="F198" s="83"/>
      <c r="G198" s="12"/>
      <c r="H198" s="83"/>
    </row>
    <row r="199" spans="1:8" ht="12.75">
      <c r="A199" t="s">
        <v>23</v>
      </c>
      <c r="B199" s="12">
        <v>19000000</v>
      </c>
      <c r="C199" s="83">
        <f t="shared" si="5"/>
        <v>0.38311086018469975</v>
      </c>
      <c r="D199" s="12">
        <v>18375000</v>
      </c>
      <c r="E199" s="12"/>
      <c r="F199" s="83">
        <f t="shared" si="6"/>
        <v>0.3691056094008939</v>
      </c>
      <c r="G199" s="12">
        <v>17500000</v>
      </c>
      <c r="H199" s="83">
        <f t="shared" si="7"/>
        <v>0.35204184268758804</v>
      </c>
    </row>
    <row r="200" spans="1:8" ht="12.75">
      <c r="A200" t="s">
        <v>24</v>
      </c>
      <c r="B200" s="13">
        <v>16000000</v>
      </c>
      <c r="C200" s="84">
        <f t="shared" si="5"/>
        <v>0.322619671734484</v>
      </c>
      <c r="D200" s="13">
        <v>15375000</v>
      </c>
      <c r="E200" s="13"/>
      <c r="F200" s="84">
        <f t="shared" si="6"/>
        <v>0.3088434690905439</v>
      </c>
      <c r="G200" s="13">
        <v>14750000</v>
      </c>
      <c r="H200" s="84">
        <f t="shared" si="7"/>
        <v>0.29672098169382416</v>
      </c>
    </row>
    <row r="201" spans="1:8" ht="12.75">
      <c r="A201" t="s">
        <v>54</v>
      </c>
      <c r="B201" s="17">
        <f>SUM(B199:B200)</f>
        <v>35000000</v>
      </c>
      <c r="C201" s="83">
        <f t="shared" si="5"/>
        <v>0.7057305319191838</v>
      </c>
      <c r="D201" s="17">
        <f>SUM(D199:D200)</f>
        <v>33750000</v>
      </c>
      <c r="E201" s="17"/>
      <c r="F201" s="83">
        <f t="shared" si="6"/>
        <v>0.6779490784914377</v>
      </c>
      <c r="G201" s="17">
        <f>SUM(G199:G200)</f>
        <v>32250000</v>
      </c>
      <c r="H201" s="83">
        <f t="shared" si="7"/>
        <v>0.6487628243814122</v>
      </c>
    </row>
    <row r="202" spans="2:8" ht="12.75">
      <c r="B202" s="17"/>
      <c r="C202" s="80"/>
      <c r="D202" s="17"/>
      <c r="E202" s="17"/>
      <c r="F202" s="80"/>
      <c r="G202" s="17"/>
      <c r="H202" s="36"/>
    </row>
    <row r="203" spans="1:8" ht="13.5" thickBot="1">
      <c r="A203" s="24" t="s">
        <v>56</v>
      </c>
      <c r="B203" s="14">
        <f>B196+B201</f>
        <v>49594000</v>
      </c>
      <c r="C203" s="63">
        <v>1</v>
      </c>
      <c r="D203" s="14">
        <f>D196+D201</f>
        <v>49782500</v>
      </c>
      <c r="E203" s="14"/>
      <c r="F203" s="63">
        <v>1</v>
      </c>
      <c r="G203" s="14">
        <f>G196+G201</f>
        <v>49710000</v>
      </c>
      <c r="H203" s="88">
        <v>1</v>
      </c>
    </row>
    <row r="204" spans="2:7" ht="13.5" thickTop="1">
      <c r="B204" s="12"/>
      <c r="C204" s="12"/>
      <c r="D204" s="12"/>
      <c r="E204" s="12"/>
      <c r="F204" s="12"/>
      <c r="G204" s="12"/>
    </row>
    <row r="205" spans="1:7" ht="12.75">
      <c r="A205" s="18" t="s">
        <v>57</v>
      </c>
      <c r="B205" s="12"/>
      <c r="C205" s="12"/>
      <c r="D205" s="12"/>
      <c r="E205" s="12"/>
      <c r="F205" s="12"/>
      <c r="G205" s="12"/>
    </row>
    <row r="206" spans="1:7" ht="12.75">
      <c r="A206" s="18"/>
      <c r="B206" s="12"/>
      <c r="C206" s="12"/>
      <c r="D206" s="12"/>
      <c r="E206" s="12"/>
      <c r="F206" s="12"/>
      <c r="G206" s="12"/>
    </row>
    <row r="207" spans="1:7" ht="12.75">
      <c r="A207" s="23" t="s">
        <v>30</v>
      </c>
      <c r="B207" s="12"/>
      <c r="C207" s="12"/>
      <c r="D207" s="12"/>
      <c r="E207" s="12"/>
      <c r="F207" s="12"/>
      <c r="G207" s="12"/>
    </row>
    <row r="208" spans="1:8" ht="12.75">
      <c r="A208" t="s">
        <v>5</v>
      </c>
      <c r="B208" s="12">
        <v>1500000</v>
      </c>
      <c r="C208" s="78">
        <f>B208/B$203</f>
        <v>0.030245594225107877</v>
      </c>
      <c r="D208" s="12">
        <v>2250000</v>
      </c>
      <c r="E208" s="12"/>
      <c r="F208" s="78">
        <f>D208/D$203</f>
        <v>0.04519660523276252</v>
      </c>
      <c r="G208" s="12">
        <v>2500000</v>
      </c>
      <c r="H208" s="36">
        <f>G208/G$203</f>
        <v>0.05029169181251257</v>
      </c>
    </row>
    <row r="209" spans="1:8" ht="12.75">
      <c r="A209" t="s">
        <v>6</v>
      </c>
      <c r="B209" s="12">
        <v>2500000</v>
      </c>
      <c r="C209" s="78">
        <f aca="true" t="shared" si="8" ref="C209:C225">B209/B$203</f>
        <v>0.05040932370851313</v>
      </c>
      <c r="D209" s="12">
        <v>2500000</v>
      </c>
      <c r="E209" s="12"/>
      <c r="F209" s="78">
        <f aca="true" t="shared" si="9" ref="F209:F225">D209/D$203</f>
        <v>0.05021845025862502</v>
      </c>
      <c r="G209" s="12">
        <v>2500000</v>
      </c>
      <c r="H209" s="36">
        <f aca="true" t="shared" si="10" ref="H209:H225">G209/G$203</f>
        <v>0.05029169181251257</v>
      </c>
    </row>
    <row r="210" spans="1:8" ht="12.75">
      <c r="A210" t="s">
        <v>7</v>
      </c>
      <c r="B210" s="13">
        <v>3375000</v>
      </c>
      <c r="C210" s="81">
        <f t="shared" si="8"/>
        <v>0.06805258700649272</v>
      </c>
      <c r="D210" s="13">
        <v>3500000</v>
      </c>
      <c r="E210" s="13"/>
      <c r="F210" s="81">
        <f t="shared" si="9"/>
        <v>0.07030583036207502</v>
      </c>
      <c r="G210" s="13">
        <v>3750000</v>
      </c>
      <c r="H210" s="89">
        <f t="shared" si="10"/>
        <v>0.07543753771876886</v>
      </c>
    </row>
    <row r="211" spans="1:8" ht="12.75">
      <c r="A211" t="s">
        <v>58</v>
      </c>
      <c r="B211" s="12">
        <f>SUM(B208:B210)</f>
        <v>7375000</v>
      </c>
      <c r="C211" s="78">
        <f t="shared" si="8"/>
        <v>0.14870750494011373</v>
      </c>
      <c r="D211" s="12">
        <f>SUM(D208:D210)</f>
        <v>8250000</v>
      </c>
      <c r="E211" s="12"/>
      <c r="F211" s="78">
        <f t="shared" si="9"/>
        <v>0.16572088585346256</v>
      </c>
      <c r="G211" s="12">
        <f>SUM(G208:G210)</f>
        <v>8750000</v>
      </c>
      <c r="H211" s="36">
        <f t="shared" si="10"/>
        <v>0.17602092134379402</v>
      </c>
    </row>
    <row r="212" spans="2:8" ht="12.75">
      <c r="B212" s="12"/>
      <c r="C212" s="78"/>
      <c r="D212" s="12"/>
      <c r="E212" s="12"/>
      <c r="F212" s="78"/>
      <c r="G212" s="12"/>
      <c r="H212" s="36"/>
    </row>
    <row r="213" spans="1:8" ht="12.75">
      <c r="A213" s="23" t="s">
        <v>59</v>
      </c>
      <c r="B213" s="12"/>
      <c r="C213" s="78"/>
      <c r="D213" s="12"/>
      <c r="E213" s="12"/>
      <c r="F213" s="78"/>
      <c r="G213" s="12"/>
      <c r="H213" s="36"/>
    </row>
    <row r="214" spans="1:8" ht="12.75">
      <c r="A214" t="s">
        <v>8</v>
      </c>
      <c r="B214" s="12">
        <v>10000000</v>
      </c>
      <c r="C214" s="78">
        <f t="shared" si="8"/>
        <v>0.20163729483405252</v>
      </c>
      <c r="D214" s="12">
        <v>7500000</v>
      </c>
      <c r="E214" s="12"/>
      <c r="F214" s="78">
        <f t="shared" si="9"/>
        <v>0.15065535077587505</v>
      </c>
      <c r="G214" s="12">
        <v>5000000</v>
      </c>
      <c r="H214" s="36">
        <f t="shared" si="10"/>
        <v>0.10058338362502514</v>
      </c>
    </row>
    <row r="215" spans="1:8" ht="12.75">
      <c r="A215" t="s">
        <v>9</v>
      </c>
      <c r="B215" s="13">
        <v>5000000</v>
      </c>
      <c r="C215" s="81">
        <f t="shared" si="8"/>
        <v>0.10081864741702626</v>
      </c>
      <c r="D215" s="13">
        <v>5000000</v>
      </c>
      <c r="E215" s="13"/>
      <c r="F215" s="81">
        <f t="shared" si="9"/>
        <v>0.10043690051725004</v>
      </c>
      <c r="G215" s="13">
        <v>5000000</v>
      </c>
      <c r="H215" s="89">
        <f t="shared" si="10"/>
        <v>0.10058338362502514</v>
      </c>
    </row>
    <row r="216" spans="1:8" ht="12.75">
      <c r="A216" t="s">
        <v>60</v>
      </c>
      <c r="B216" s="12">
        <f>SUM(B214:B215)</f>
        <v>15000000</v>
      </c>
      <c r="C216" s="78">
        <f t="shared" si="8"/>
        <v>0.30245594225107875</v>
      </c>
      <c r="D216" s="12">
        <f>SUM(D214:D215)</f>
        <v>12500000</v>
      </c>
      <c r="E216" s="12"/>
      <c r="F216" s="78">
        <f t="shared" si="9"/>
        <v>0.25109225129312507</v>
      </c>
      <c r="G216" s="12">
        <f>SUM(G214:G215)</f>
        <v>10000000</v>
      </c>
      <c r="H216" s="36">
        <f t="shared" si="10"/>
        <v>0.20116676725005028</v>
      </c>
    </row>
    <row r="217" spans="2:8" ht="12.75">
      <c r="B217" s="12"/>
      <c r="C217" s="78"/>
      <c r="D217" s="12"/>
      <c r="E217" s="12"/>
      <c r="F217" s="78"/>
      <c r="G217" s="12"/>
      <c r="H217" s="36"/>
    </row>
    <row r="218" spans="1:8" ht="13.5" thickBot="1">
      <c r="A218" s="24" t="s">
        <v>10</v>
      </c>
      <c r="B218" s="14">
        <f>B211+B216</f>
        <v>22375000</v>
      </c>
      <c r="C218" s="63">
        <f t="shared" si="8"/>
        <v>0.4511634471911925</v>
      </c>
      <c r="D218" s="14">
        <f>D211+D216</f>
        <v>20750000</v>
      </c>
      <c r="E218" s="14"/>
      <c r="F218" s="63">
        <f t="shared" si="9"/>
        <v>0.41681313714658763</v>
      </c>
      <c r="G218" s="14">
        <f>G211+G216</f>
        <v>18750000</v>
      </c>
      <c r="H218" s="88">
        <f t="shared" si="10"/>
        <v>0.3771876885938443</v>
      </c>
    </row>
    <row r="219" spans="2:8" ht="13.5" thickTop="1">
      <c r="B219" s="12"/>
      <c r="C219" s="78"/>
      <c r="D219" s="12"/>
      <c r="E219" s="12"/>
      <c r="F219" s="78"/>
      <c r="G219" s="12"/>
      <c r="H219" s="36"/>
    </row>
    <row r="220" spans="1:8" ht="12.75">
      <c r="A220" s="23" t="s">
        <v>61</v>
      </c>
      <c r="B220" s="12"/>
      <c r="C220" s="78"/>
      <c r="D220" s="12"/>
      <c r="E220" s="12"/>
      <c r="F220" s="78"/>
      <c r="G220" s="12"/>
      <c r="H220" s="36"/>
    </row>
    <row r="221" spans="1:8" ht="12.75">
      <c r="A221" t="s">
        <v>11</v>
      </c>
      <c r="B221" s="12">
        <v>9587500</v>
      </c>
      <c r="C221" s="78">
        <f t="shared" si="8"/>
        <v>0.19331975642214785</v>
      </c>
      <c r="D221" s="12">
        <v>9587500</v>
      </c>
      <c r="E221" s="12"/>
      <c r="F221" s="78">
        <f t="shared" si="9"/>
        <v>0.19258775674182696</v>
      </c>
      <c r="G221" s="12">
        <v>9587500</v>
      </c>
      <c r="H221" s="36">
        <f t="shared" si="10"/>
        <v>0.19286863810098573</v>
      </c>
    </row>
    <row r="222" spans="1:8" ht="12.75">
      <c r="A222" t="s">
        <v>12</v>
      </c>
      <c r="B222" s="13">
        <v>17631500</v>
      </c>
      <c r="C222" s="81">
        <f t="shared" si="8"/>
        <v>0.3555167963866597</v>
      </c>
      <c r="D222" s="13">
        <v>19445000</v>
      </c>
      <c r="E222" s="13"/>
      <c r="F222" s="81">
        <f t="shared" si="9"/>
        <v>0.3905991061115854</v>
      </c>
      <c r="G222" s="13">
        <v>21372500</v>
      </c>
      <c r="H222" s="89">
        <f t="shared" si="10"/>
        <v>0.42994367330516997</v>
      </c>
    </row>
    <row r="223" spans="1:8" ht="12.75">
      <c r="A223" t="s">
        <v>62</v>
      </c>
      <c r="B223" s="12">
        <f>SUM(B221:B222)</f>
        <v>27219000</v>
      </c>
      <c r="C223" s="78">
        <f t="shared" si="8"/>
        <v>0.5488365528088075</v>
      </c>
      <c r="D223" s="12">
        <f>SUM(D221:D222)</f>
        <v>29032500</v>
      </c>
      <c r="E223" s="12"/>
      <c r="F223" s="78">
        <f t="shared" si="9"/>
        <v>0.5831868628534124</v>
      </c>
      <c r="G223" s="12">
        <f>SUM(G221:G222)</f>
        <v>30960000</v>
      </c>
      <c r="H223" s="36">
        <f t="shared" si="10"/>
        <v>0.6228123114061557</v>
      </c>
    </row>
    <row r="224" spans="2:8" ht="12.75">
      <c r="B224" s="12"/>
      <c r="C224" s="78"/>
      <c r="D224" s="12"/>
      <c r="E224" s="12"/>
      <c r="F224" s="78"/>
      <c r="G224" s="12"/>
      <c r="H224" s="36"/>
    </row>
    <row r="225" spans="1:8" ht="13.5" thickBot="1">
      <c r="A225" s="24" t="s">
        <v>63</v>
      </c>
      <c r="B225" s="15">
        <f>B218+B223</f>
        <v>49594000</v>
      </c>
      <c r="C225" s="63">
        <f t="shared" si="8"/>
        <v>1</v>
      </c>
      <c r="D225" s="25">
        <f>D218+D223</f>
        <v>49782500</v>
      </c>
      <c r="E225" s="25"/>
      <c r="F225" s="63">
        <f t="shared" si="9"/>
        <v>1</v>
      </c>
      <c r="G225" s="15">
        <f>G218+G223</f>
        <v>49710000</v>
      </c>
      <c r="H225" s="88">
        <f t="shared" si="10"/>
        <v>1</v>
      </c>
    </row>
    <row r="226" spans="1:8" ht="13.5" thickTop="1">
      <c r="A226" s="38"/>
      <c r="B226" s="39"/>
      <c r="C226" s="39"/>
      <c r="D226" s="40"/>
      <c r="E226" s="40"/>
      <c r="F226" s="39"/>
      <c r="G226" s="39"/>
      <c r="H226" s="20"/>
    </row>
    <row r="227" spans="1:8" ht="12.75">
      <c r="A227" s="38" t="s">
        <v>82</v>
      </c>
      <c r="B227" s="39"/>
      <c r="C227" s="39"/>
      <c r="D227" s="40"/>
      <c r="E227" s="40"/>
      <c r="F227" s="39"/>
      <c r="G227" s="39"/>
      <c r="H227" s="20"/>
    </row>
    <row r="228" spans="1:8" ht="12.75">
      <c r="A228" s="38"/>
      <c r="B228" s="39"/>
      <c r="C228" s="39"/>
      <c r="D228" s="40"/>
      <c r="E228" s="40"/>
      <c r="F228" s="39"/>
      <c r="G228" s="39"/>
      <c r="H228" s="20"/>
    </row>
    <row r="229" spans="1:8" ht="12.75">
      <c r="A229" s="44" t="s">
        <v>83</v>
      </c>
      <c r="B229" s="39"/>
      <c r="C229" s="39"/>
      <c r="D229" s="40"/>
      <c r="E229" s="40"/>
      <c r="F229" s="39"/>
      <c r="G229" s="39"/>
      <c r="H229" s="20"/>
    </row>
    <row r="230" spans="1:8" ht="12.75">
      <c r="A230" s="41" t="s">
        <v>84</v>
      </c>
      <c r="B230" s="49">
        <v>15000000</v>
      </c>
      <c r="C230" s="39"/>
      <c r="D230" s="40"/>
      <c r="E230" s="40"/>
      <c r="F230" s="39"/>
      <c r="G230" s="39"/>
      <c r="H230" s="20"/>
    </row>
    <row r="231" spans="1:8" ht="12.75">
      <c r="A231" s="41" t="s">
        <v>85</v>
      </c>
      <c r="B231" s="50">
        <v>7500000</v>
      </c>
      <c r="C231" s="39"/>
      <c r="D231" s="40"/>
      <c r="E231" s="40"/>
      <c r="F231" s="39"/>
      <c r="G231" s="39"/>
      <c r="H231" s="20"/>
    </row>
    <row r="232" spans="1:8" ht="12.75">
      <c r="A232" s="42" t="s">
        <v>86</v>
      </c>
      <c r="B232" s="36">
        <v>0.06</v>
      </c>
      <c r="C232" s="39"/>
      <c r="D232" s="40"/>
      <c r="E232" s="40"/>
      <c r="F232" s="39"/>
      <c r="G232" s="39"/>
      <c r="H232" s="20"/>
    </row>
    <row r="233" spans="1:8" ht="12.75">
      <c r="A233" s="43" t="s">
        <v>87</v>
      </c>
      <c r="B233" s="45">
        <v>2500000</v>
      </c>
      <c r="C233" s="39"/>
      <c r="D233" s="40"/>
      <c r="E233" s="40"/>
      <c r="F233" s="39"/>
      <c r="G233" s="39"/>
      <c r="H233" s="20"/>
    </row>
    <row r="234" spans="1:8" ht="12.75">
      <c r="A234" s="43" t="s">
        <v>88</v>
      </c>
      <c r="B234" s="47">
        <v>2008</v>
      </c>
      <c r="C234" s="39"/>
      <c r="D234" s="40"/>
      <c r="E234" s="40"/>
      <c r="F234" s="39"/>
      <c r="G234" s="39"/>
      <c r="H234" s="20"/>
    </row>
    <row r="235" spans="1:8" ht="12.75">
      <c r="A235" s="43" t="s">
        <v>89</v>
      </c>
      <c r="B235" s="46" t="s">
        <v>90</v>
      </c>
      <c r="C235" s="39"/>
      <c r="D235" s="40"/>
      <c r="E235" s="40"/>
      <c r="F235" s="39"/>
      <c r="G235" s="39"/>
      <c r="H235" s="20"/>
    </row>
    <row r="236" spans="1:8" ht="12.75">
      <c r="A236" s="16"/>
      <c r="B236" s="16"/>
      <c r="C236" s="39"/>
      <c r="D236" s="40"/>
      <c r="E236" s="40"/>
      <c r="F236" s="39"/>
      <c r="G236" s="39"/>
      <c r="H236" s="20"/>
    </row>
    <row r="237" spans="1:8" ht="12.75">
      <c r="A237" s="48" t="s">
        <v>91</v>
      </c>
      <c r="B237" s="16"/>
      <c r="C237" s="39"/>
      <c r="D237" s="40"/>
      <c r="E237" s="40"/>
      <c r="F237" s="39"/>
      <c r="G237" s="39"/>
      <c r="H237" s="20"/>
    </row>
    <row r="238" spans="1:8" ht="12.75">
      <c r="A238" s="41" t="s">
        <v>84</v>
      </c>
      <c r="B238" s="45">
        <v>5000000</v>
      </c>
      <c r="C238" s="39"/>
      <c r="D238" s="40"/>
      <c r="E238" s="40"/>
      <c r="F238" s="39"/>
      <c r="G238" s="39"/>
      <c r="H238" s="20"/>
    </row>
    <row r="239" spans="1:8" ht="12.75">
      <c r="A239" s="41" t="s">
        <v>85</v>
      </c>
      <c r="B239" s="45">
        <v>5000000</v>
      </c>
      <c r="C239" s="39"/>
      <c r="D239" s="40"/>
      <c r="E239" s="40"/>
      <c r="F239" s="39"/>
      <c r="G239" s="39"/>
      <c r="H239" s="20"/>
    </row>
    <row r="240" spans="1:8" ht="12.75">
      <c r="A240" s="42" t="s">
        <v>86</v>
      </c>
      <c r="B240" s="51">
        <v>0.075</v>
      </c>
      <c r="C240" s="39"/>
      <c r="D240" s="40"/>
      <c r="E240" s="40"/>
      <c r="F240" s="39"/>
      <c r="G240" s="39"/>
      <c r="H240" s="20"/>
    </row>
    <row r="241" spans="1:8" ht="12.75">
      <c r="A241" s="43" t="s">
        <v>87</v>
      </c>
      <c r="B241" s="45">
        <v>500000</v>
      </c>
      <c r="C241" s="39"/>
      <c r="D241" s="40"/>
      <c r="E241" s="40"/>
      <c r="F241" s="39"/>
      <c r="G241" s="39"/>
      <c r="H241" s="20"/>
    </row>
    <row r="242" spans="1:8" ht="12.75">
      <c r="A242" s="43" t="s">
        <v>92</v>
      </c>
      <c r="B242" s="52">
        <v>2010</v>
      </c>
      <c r="C242" s="39"/>
      <c r="D242" s="40"/>
      <c r="E242" s="40"/>
      <c r="F242" s="39"/>
      <c r="G242" s="39"/>
      <c r="H242" s="20"/>
    </row>
    <row r="243" spans="1:8" ht="12.75">
      <c r="A243" s="43" t="s">
        <v>88</v>
      </c>
      <c r="B243" s="52">
        <v>2019</v>
      </c>
      <c r="C243" s="39"/>
      <c r="D243" s="40"/>
      <c r="E243" s="40"/>
      <c r="F243" s="39"/>
      <c r="G243" s="39"/>
      <c r="H243" s="20"/>
    </row>
    <row r="244" spans="1:8" ht="12.75">
      <c r="A244" s="43" t="s">
        <v>89</v>
      </c>
      <c r="B244" s="46" t="s">
        <v>90</v>
      </c>
      <c r="C244" s="39"/>
      <c r="D244" s="40"/>
      <c r="E244" s="40"/>
      <c r="F244" s="39"/>
      <c r="G244" s="39"/>
      <c r="H244" s="20"/>
    </row>
    <row r="245" spans="1:8" ht="12.75">
      <c r="A245" s="38"/>
      <c r="B245" s="39"/>
      <c r="C245" s="39"/>
      <c r="D245" s="40"/>
      <c r="E245" s="40"/>
      <c r="F245" s="39"/>
      <c r="G245" s="39"/>
      <c r="H245" s="20"/>
    </row>
    <row r="246" s="9" customFormat="1" ht="12.75"/>
    <row r="248" spans="1:8" ht="12.75">
      <c r="A248" s="173" t="s">
        <v>13</v>
      </c>
      <c r="B248" s="173"/>
      <c r="C248" s="173"/>
      <c r="D248" s="173"/>
      <c r="E248" s="173"/>
      <c r="F248" s="173"/>
      <c r="G248" s="173"/>
      <c r="H248" s="173"/>
    </row>
    <row r="249" spans="1:8" ht="12.75">
      <c r="A249" s="22"/>
      <c r="B249" s="19">
        <v>2003</v>
      </c>
      <c r="C249" s="19"/>
      <c r="D249" s="19">
        <v>2004</v>
      </c>
      <c r="E249" s="19"/>
      <c r="F249" s="19"/>
      <c r="G249" s="19">
        <v>2005</v>
      </c>
      <c r="H249" s="22"/>
    </row>
    <row r="251" spans="1:8" ht="12.75">
      <c r="A251" t="s">
        <v>14</v>
      </c>
      <c r="B251" s="11">
        <v>41250000</v>
      </c>
      <c r="C251" s="83">
        <v>1</v>
      </c>
      <c r="D251" s="11">
        <v>46250000</v>
      </c>
      <c r="E251" s="11"/>
      <c r="F251" s="83">
        <v>1</v>
      </c>
      <c r="G251" s="11">
        <v>50000000</v>
      </c>
      <c r="H251" s="83">
        <v>1</v>
      </c>
    </row>
    <row r="252" spans="1:8" ht="12.75">
      <c r="A252" t="s">
        <v>15</v>
      </c>
      <c r="B252" s="13">
        <v>-28875000</v>
      </c>
      <c r="C252" s="81">
        <f>B252/B$251</f>
        <v>-0.7</v>
      </c>
      <c r="D252" s="13">
        <v>-32375000</v>
      </c>
      <c r="E252" s="13"/>
      <c r="F252" s="81">
        <f>D252/D$251</f>
        <v>-0.7</v>
      </c>
      <c r="G252" s="13">
        <v>-35000000</v>
      </c>
      <c r="H252" s="89">
        <f>G252/G$251</f>
        <v>-0.7</v>
      </c>
    </row>
    <row r="253" spans="1:8" ht="12.75">
      <c r="A253" t="s">
        <v>16</v>
      </c>
      <c r="B253" s="12">
        <f>SUM(B251:B252)</f>
        <v>12375000</v>
      </c>
      <c r="C253" s="80">
        <f aca="true" t="shared" si="11" ref="C253:C269">B253/B$251</f>
        <v>0.3</v>
      </c>
      <c r="D253" s="12">
        <f>SUM(D251:D252)</f>
        <v>13875000</v>
      </c>
      <c r="E253" s="12"/>
      <c r="F253" s="80">
        <f aca="true" t="shared" si="12" ref="F253:F269">D253/D$251</f>
        <v>0.3</v>
      </c>
      <c r="G253" s="12">
        <f>SUM(G251:G252)</f>
        <v>15000000</v>
      </c>
      <c r="H253" s="36">
        <f aca="true" t="shared" si="13" ref="H253:H269">G253/G$251</f>
        <v>0.3</v>
      </c>
    </row>
    <row r="254" spans="2:8" ht="12.75">
      <c r="B254" s="12"/>
      <c r="C254" s="80"/>
      <c r="D254" s="12"/>
      <c r="E254" s="12"/>
      <c r="F254" s="80"/>
      <c r="G254" s="12"/>
      <c r="H254" s="36"/>
    </row>
    <row r="255" spans="1:8" ht="12.75">
      <c r="A255" t="s">
        <v>111</v>
      </c>
      <c r="B255" s="12">
        <v>-4560000</v>
      </c>
      <c r="C255" s="80">
        <f t="shared" si="11"/>
        <v>-0.11054545454545454</v>
      </c>
      <c r="D255" s="12">
        <v>-5205000</v>
      </c>
      <c r="E255" s="12"/>
      <c r="F255" s="80">
        <f t="shared" si="12"/>
        <v>-0.11254054054054054</v>
      </c>
      <c r="G255" s="12">
        <v>-5850000</v>
      </c>
      <c r="H255" s="36">
        <f t="shared" si="13"/>
        <v>-0.117</v>
      </c>
    </row>
    <row r="256" spans="1:8" ht="12.75">
      <c r="A256" t="s">
        <v>17</v>
      </c>
      <c r="B256" s="13">
        <v>-1500000</v>
      </c>
      <c r="C256" s="81">
        <f t="shared" si="11"/>
        <v>-0.03636363636363636</v>
      </c>
      <c r="D256" s="13">
        <v>-1500000</v>
      </c>
      <c r="E256" s="13"/>
      <c r="F256" s="81">
        <f t="shared" si="12"/>
        <v>-0.032432432432432434</v>
      </c>
      <c r="G256" s="13">
        <v>-1750000</v>
      </c>
      <c r="H256" s="89">
        <f t="shared" si="13"/>
        <v>-0.035</v>
      </c>
    </row>
    <row r="257" spans="1:8" ht="12.75">
      <c r="A257" t="s">
        <v>64</v>
      </c>
      <c r="B257" s="12">
        <f>SUM(B253:B256)</f>
        <v>6315000</v>
      </c>
      <c r="C257" s="80">
        <f t="shared" si="11"/>
        <v>0.15309090909090908</v>
      </c>
      <c r="D257" s="12">
        <f>SUM(D253:D256)</f>
        <v>7170000</v>
      </c>
      <c r="E257" s="12"/>
      <c r="F257" s="80">
        <f t="shared" si="12"/>
        <v>0.15502702702702703</v>
      </c>
      <c r="G257" s="12">
        <f>SUM(G253:G256)</f>
        <v>7400000</v>
      </c>
      <c r="H257" s="36">
        <f t="shared" si="13"/>
        <v>0.148</v>
      </c>
    </row>
    <row r="258" spans="2:8" ht="12.75">
      <c r="B258" s="12"/>
      <c r="C258" s="80"/>
      <c r="D258" s="12"/>
      <c r="E258" s="12"/>
      <c r="F258" s="80"/>
      <c r="G258" s="12"/>
      <c r="H258" s="36"/>
    </row>
    <row r="259" spans="1:8" ht="12.75">
      <c r="A259" t="s">
        <v>18</v>
      </c>
      <c r="B259" s="13">
        <v>-1275000</v>
      </c>
      <c r="C259" s="81">
        <f t="shared" si="11"/>
        <v>-0.03090909090909091</v>
      </c>
      <c r="D259" s="13">
        <v>-1125000</v>
      </c>
      <c r="E259" s="13"/>
      <c r="F259" s="81">
        <f t="shared" si="12"/>
        <v>-0.024324324324324326</v>
      </c>
      <c r="G259" s="13">
        <v>-975000</v>
      </c>
      <c r="H259" s="89">
        <f t="shared" si="13"/>
        <v>-0.0195</v>
      </c>
    </row>
    <row r="260" spans="1:8" ht="12.75">
      <c r="A260" t="s">
        <v>65</v>
      </c>
      <c r="B260" s="12">
        <f>SUM(B257:B259)</f>
        <v>5040000</v>
      </c>
      <c r="C260" s="80">
        <f t="shared" si="11"/>
        <v>0.12218181818181818</v>
      </c>
      <c r="D260" s="12">
        <f>SUM(D257:D259)</f>
        <v>6045000</v>
      </c>
      <c r="E260" s="12"/>
      <c r="F260" s="80">
        <f t="shared" si="12"/>
        <v>0.1307027027027027</v>
      </c>
      <c r="G260" s="12">
        <f>SUM(G257:G259)</f>
        <v>6425000</v>
      </c>
      <c r="H260" s="36">
        <f t="shared" si="13"/>
        <v>0.1285</v>
      </c>
    </row>
    <row r="261" spans="2:8" ht="12.75">
      <c r="B261" s="12"/>
      <c r="C261" s="80"/>
      <c r="D261" s="12"/>
      <c r="E261" s="12"/>
      <c r="F261" s="80"/>
      <c r="G261" s="12"/>
      <c r="H261" s="36"/>
    </row>
    <row r="262" spans="1:8" ht="12.75">
      <c r="A262" t="s">
        <v>19</v>
      </c>
      <c r="B262" s="12">
        <v>-2016000</v>
      </c>
      <c r="C262" s="80">
        <f t="shared" si="11"/>
        <v>-0.048872727272727276</v>
      </c>
      <c r="D262" s="12">
        <v>-2418000</v>
      </c>
      <c r="E262" s="12"/>
      <c r="F262" s="80">
        <f t="shared" si="12"/>
        <v>-0.05228108108108108</v>
      </c>
      <c r="G262" s="12">
        <v>-2570000</v>
      </c>
      <c r="H262" s="36">
        <f t="shared" si="13"/>
        <v>-0.0514</v>
      </c>
    </row>
    <row r="263" spans="3:8" ht="12.75">
      <c r="C263" s="81"/>
      <c r="F263" s="80"/>
      <c r="H263" s="36"/>
    </row>
    <row r="264" spans="1:8" ht="13.5" thickBot="1">
      <c r="A264" s="24" t="s">
        <v>66</v>
      </c>
      <c r="B264" s="15">
        <f>SUM(B260:B263)</f>
        <v>3024000</v>
      </c>
      <c r="C264" s="63">
        <f t="shared" si="11"/>
        <v>0.07330909090909091</v>
      </c>
      <c r="D264" s="15">
        <f>SUM(D260:D263)</f>
        <v>3627000</v>
      </c>
      <c r="E264" s="15"/>
      <c r="F264" s="63">
        <f t="shared" si="12"/>
        <v>0.07842162162162163</v>
      </c>
      <c r="G264" s="15">
        <f>SUM(G260:G263)</f>
        <v>3855000</v>
      </c>
      <c r="H264" s="88">
        <f t="shared" si="13"/>
        <v>0.0771</v>
      </c>
    </row>
    <row r="265" spans="3:8" ht="13.5" thickTop="1">
      <c r="C265" s="90"/>
      <c r="F265" s="80"/>
      <c r="H265" s="91"/>
    </row>
    <row r="266" spans="1:8" ht="12.75">
      <c r="A266" t="s">
        <v>81</v>
      </c>
      <c r="B266" s="30">
        <v>1000000</v>
      </c>
      <c r="C266" s="80">
        <f t="shared" si="11"/>
        <v>0.024242424242424242</v>
      </c>
      <c r="D266" s="30">
        <v>1000000</v>
      </c>
      <c r="E266" s="30"/>
      <c r="F266" s="80">
        <f t="shared" si="12"/>
        <v>0.021621621621621623</v>
      </c>
      <c r="G266" s="30">
        <v>1000000</v>
      </c>
      <c r="H266" s="91">
        <f t="shared" si="13"/>
        <v>0.02</v>
      </c>
    </row>
    <row r="267" spans="1:8" ht="12.75">
      <c r="A267" t="s">
        <v>20</v>
      </c>
      <c r="B267" s="37">
        <v>3.02</v>
      </c>
      <c r="C267" s="79">
        <f t="shared" si="11"/>
        <v>7.321212121212121E-08</v>
      </c>
      <c r="D267" s="34">
        <v>3.63</v>
      </c>
      <c r="E267" s="34"/>
      <c r="F267" s="79">
        <f t="shared" si="12"/>
        <v>7.848648648648649E-08</v>
      </c>
      <c r="G267" s="34">
        <v>3.86</v>
      </c>
      <c r="H267" s="82">
        <f t="shared" si="13"/>
        <v>7.72E-08</v>
      </c>
    </row>
    <row r="268" spans="1:8" ht="12.75">
      <c r="A268" t="s">
        <v>21</v>
      </c>
      <c r="B268" s="12">
        <v>1512000</v>
      </c>
      <c r="C268" s="80">
        <f t="shared" si="11"/>
        <v>0.036654545454545454</v>
      </c>
      <c r="D268" s="12">
        <v>1813500</v>
      </c>
      <c r="E268" s="12"/>
      <c r="F268" s="80">
        <f t="shared" si="12"/>
        <v>0.03921081081081081</v>
      </c>
      <c r="G268" s="12">
        <v>1927500</v>
      </c>
      <c r="H268" s="36">
        <f t="shared" si="13"/>
        <v>0.03855</v>
      </c>
    </row>
    <row r="269" spans="1:8" ht="12.75">
      <c r="A269" t="s">
        <v>22</v>
      </c>
      <c r="B269" s="12">
        <v>1512000</v>
      </c>
      <c r="C269" s="80">
        <f t="shared" si="11"/>
        <v>0.036654545454545454</v>
      </c>
      <c r="D269" s="12">
        <v>1813500</v>
      </c>
      <c r="E269" s="12"/>
      <c r="F269" s="80">
        <f t="shared" si="12"/>
        <v>0.03921081081081081</v>
      </c>
      <c r="G269" s="12">
        <v>1927500</v>
      </c>
      <c r="H269" s="36">
        <f t="shared" si="13"/>
        <v>0.03855</v>
      </c>
    </row>
    <row r="270" spans="2:7" ht="12.75">
      <c r="B270" s="12"/>
      <c r="C270" s="12"/>
      <c r="D270" s="12"/>
      <c r="E270" s="12"/>
      <c r="F270" s="12"/>
      <c r="G270" s="12"/>
    </row>
    <row r="271" spans="1:7" ht="12.75">
      <c r="A271" t="s">
        <v>115</v>
      </c>
      <c r="B271" s="28">
        <v>62</v>
      </c>
      <c r="C271" s="12"/>
      <c r="D271" s="12"/>
      <c r="E271" s="12"/>
      <c r="F271" s="12"/>
      <c r="G271" s="12"/>
    </row>
    <row r="272" spans="1:7" ht="12.75">
      <c r="A272" t="s">
        <v>117</v>
      </c>
      <c r="B272" s="36">
        <v>0.6</v>
      </c>
      <c r="C272" s="12"/>
      <c r="D272" s="12"/>
      <c r="E272" s="12"/>
      <c r="F272" s="12"/>
      <c r="G272" s="12"/>
    </row>
    <row r="273" spans="3:7" ht="12.75">
      <c r="C273" s="12"/>
      <c r="D273" s="12"/>
      <c r="E273" s="12"/>
      <c r="F273" s="12"/>
      <c r="G273" s="12"/>
    </row>
    <row r="274" spans="1:2" ht="12.75">
      <c r="A274" t="s">
        <v>116</v>
      </c>
      <c r="B274" s="28">
        <v>1.2</v>
      </c>
    </row>
    <row r="275" s="9" customFormat="1" ht="12.75"/>
  </sheetData>
  <mergeCells count="13">
    <mergeCell ref="A248:H248"/>
    <mergeCell ref="B53:D53"/>
    <mergeCell ref="B48:D48"/>
    <mergeCell ref="B49:D49"/>
    <mergeCell ref="B59:D59"/>
    <mergeCell ref="B62:D62"/>
    <mergeCell ref="B68:D68"/>
    <mergeCell ref="B71:D71"/>
    <mergeCell ref="B74:D74"/>
    <mergeCell ref="B4:C4"/>
    <mergeCell ref="A155:H155"/>
    <mergeCell ref="A94:H94"/>
    <mergeCell ref="A187:H187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0"/>
  <sheetViews>
    <sheetView tabSelected="1" workbookViewId="0" topLeftCell="A1">
      <selection activeCell="F58" sqref="F58"/>
    </sheetView>
  </sheetViews>
  <sheetFormatPr defaultColWidth="9.140625" defaultRowHeight="12.75"/>
  <cols>
    <col min="1" max="1" width="43.57421875" style="0" bestFit="1" customWidth="1"/>
    <col min="2" max="10" width="12.28125" style="0" bestFit="1" customWidth="1"/>
  </cols>
  <sheetData>
    <row r="2" spans="1:5" ht="12.75">
      <c r="A2" s="18" t="s">
        <v>120</v>
      </c>
      <c r="E2" s="16"/>
    </row>
    <row r="3" spans="1:10" ht="12.75">
      <c r="A3" s="98"/>
      <c r="B3" s="99" t="s">
        <v>121</v>
      </c>
      <c r="C3" s="100" t="s">
        <v>121</v>
      </c>
      <c r="D3" s="99" t="s">
        <v>121</v>
      </c>
      <c r="E3" s="101" t="s">
        <v>122</v>
      </c>
      <c r="F3" s="102"/>
      <c r="G3" s="103"/>
      <c r="H3" s="102"/>
      <c r="I3" s="103"/>
      <c r="J3" s="102"/>
    </row>
    <row r="4" spans="1:10" ht="12.75">
      <c r="A4" s="104" t="s">
        <v>123</v>
      </c>
      <c r="B4" s="105">
        <v>2003</v>
      </c>
      <c r="C4" s="106">
        <v>2004</v>
      </c>
      <c r="D4" s="105">
        <v>2005</v>
      </c>
      <c r="E4" s="107">
        <v>2006</v>
      </c>
      <c r="F4" s="108">
        <v>2007</v>
      </c>
      <c r="G4" s="109">
        <v>2008</v>
      </c>
      <c r="H4" s="108">
        <v>2009</v>
      </c>
      <c r="I4" s="109">
        <v>2010</v>
      </c>
      <c r="J4" s="108">
        <v>2011</v>
      </c>
    </row>
    <row r="5" spans="1:10" ht="12.75">
      <c r="A5" s="110"/>
      <c r="B5" s="111"/>
      <c r="C5" s="20"/>
      <c r="D5" s="111"/>
      <c r="E5" s="110"/>
      <c r="F5" s="111"/>
      <c r="G5" s="20"/>
      <c r="H5" s="111"/>
      <c r="I5" s="20"/>
      <c r="J5" s="111"/>
    </row>
    <row r="6" spans="1:10" ht="12.75">
      <c r="A6" s="110" t="s">
        <v>14</v>
      </c>
      <c r="B6" s="112">
        <v>41250000</v>
      </c>
      <c r="C6" s="113">
        <v>46250000</v>
      </c>
      <c r="D6" s="114">
        <v>50000000</v>
      </c>
      <c r="E6" s="115">
        <f aca="true" t="shared" si="0" ref="E6:J6">D6*1.08</f>
        <v>54000000</v>
      </c>
      <c r="F6" s="116">
        <f t="shared" si="0"/>
        <v>58320000.00000001</v>
      </c>
      <c r="G6" s="117">
        <f t="shared" si="0"/>
        <v>62985600.000000015</v>
      </c>
      <c r="H6" s="116">
        <f t="shared" si="0"/>
        <v>68024448.00000001</v>
      </c>
      <c r="I6" s="117">
        <f t="shared" si="0"/>
        <v>73466403.84000002</v>
      </c>
      <c r="J6" s="116">
        <f t="shared" si="0"/>
        <v>79343716.14720002</v>
      </c>
    </row>
    <row r="7" spans="1:10" ht="12.75">
      <c r="A7" s="110" t="s">
        <v>15</v>
      </c>
      <c r="B7" s="118">
        <v>28875000</v>
      </c>
      <c r="C7" s="119">
        <v>32375000</v>
      </c>
      <c r="D7" s="118">
        <v>35000000</v>
      </c>
      <c r="E7" s="120">
        <f aca="true" t="shared" si="1" ref="E7:J7">E6*0.7</f>
        <v>37800000</v>
      </c>
      <c r="F7" s="120">
        <f t="shared" si="1"/>
        <v>40824000</v>
      </c>
      <c r="G7" s="120">
        <f t="shared" si="1"/>
        <v>44089920.00000001</v>
      </c>
      <c r="H7" s="120">
        <f t="shared" si="1"/>
        <v>47617113.60000001</v>
      </c>
      <c r="I7" s="120">
        <f t="shared" si="1"/>
        <v>51426482.68800001</v>
      </c>
      <c r="J7" s="121">
        <f t="shared" si="1"/>
        <v>55540601.30304001</v>
      </c>
    </row>
    <row r="8" spans="1:10" ht="12.75">
      <c r="A8" s="110" t="s">
        <v>16</v>
      </c>
      <c r="B8" s="114">
        <f aca="true" t="shared" si="2" ref="B8:J8">B6-B7</f>
        <v>12375000</v>
      </c>
      <c r="C8" s="113">
        <f t="shared" si="2"/>
        <v>13875000</v>
      </c>
      <c r="D8" s="114">
        <f t="shared" si="2"/>
        <v>15000000</v>
      </c>
      <c r="E8" s="115">
        <f t="shared" si="2"/>
        <v>16200000</v>
      </c>
      <c r="F8" s="116">
        <f t="shared" si="2"/>
        <v>17496000.000000007</v>
      </c>
      <c r="G8" s="117">
        <f t="shared" si="2"/>
        <v>18895680.000000007</v>
      </c>
      <c r="H8" s="116">
        <f t="shared" si="2"/>
        <v>20407334.400000006</v>
      </c>
      <c r="I8" s="117">
        <f t="shared" si="2"/>
        <v>22039921.15200001</v>
      </c>
      <c r="J8" s="116">
        <f t="shared" si="2"/>
        <v>23803114.844160005</v>
      </c>
    </row>
    <row r="9" spans="1:10" ht="12.75">
      <c r="A9" s="110" t="s">
        <v>124</v>
      </c>
      <c r="B9" s="114">
        <v>4560000</v>
      </c>
      <c r="C9" s="113">
        <v>5205000</v>
      </c>
      <c r="D9" s="114">
        <v>5850000</v>
      </c>
      <c r="E9" s="115">
        <f aca="true" t="shared" si="3" ref="E9:J9">E6*0.117</f>
        <v>6318000</v>
      </c>
      <c r="F9" s="115">
        <f t="shared" si="3"/>
        <v>6823440.000000001</v>
      </c>
      <c r="G9" s="115">
        <f t="shared" si="3"/>
        <v>7369315.200000002</v>
      </c>
      <c r="H9" s="115">
        <f t="shared" si="3"/>
        <v>7958860.416000002</v>
      </c>
      <c r="I9" s="115">
        <f t="shared" si="3"/>
        <v>8595569.249280002</v>
      </c>
      <c r="J9" s="116">
        <f t="shared" si="3"/>
        <v>9283214.789222402</v>
      </c>
    </row>
    <row r="10" spans="1:10" ht="12.75">
      <c r="A10" s="110" t="s">
        <v>17</v>
      </c>
      <c r="B10" s="118">
        <v>1500000</v>
      </c>
      <c r="C10" s="119">
        <v>1500000</v>
      </c>
      <c r="D10" s="118">
        <v>1750000</v>
      </c>
      <c r="E10" s="122">
        <f aca="true" t="shared" si="4" ref="E10:J10">E6*0.035</f>
        <v>1890000.0000000002</v>
      </c>
      <c r="F10" s="122">
        <f t="shared" si="4"/>
        <v>2041200.0000000005</v>
      </c>
      <c r="G10" s="122">
        <f t="shared" si="4"/>
        <v>2204496.000000001</v>
      </c>
      <c r="H10" s="122">
        <f t="shared" si="4"/>
        <v>2380855.6800000006</v>
      </c>
      <c r="I10" s="122">
        <f t="shared" si="4"/>
        <v>2571324.134400001</v>
      </c>
      <c r="J10" s="123">
        <f t="shared" si="4"/>
        <v>2777030.065152001</v>
      </c>
    </row>
    <row r="11" spans="1:10" ht="12.75">
      <c r="A11" s="110" t="s">
        <v>125</v>
      </c>
      <c r="B11" s="114">
        <f aca="true" t="shared" si="5" ref="B11:J11">B8-B9-B10</f>
        <v>6315000</v>
      </c>
      <c r="C11" s="113">
        <f t="shared" si="5"/>
        <v>7170000</v>
      </c>
      <c r="D11" s="114">
        <f t="shared" si="5"/>
        <v>7400000</v>
      </c>
      <c r="E11" s="124">
        <f t="shared" si="5"/>
        <v>7992000</v>
      </c>
      <c r="F11" s="125">
        <f t="shared" si="5"/>
        <v>8631360.000000007</v>
      </c>
      <c r="G11" s="126">
        <f t="shared" si="5"/>
        <v>9321868.800000004</v>
      </c>
      <c r="H11" s="125">
        <f t="shared" si="5"/>
        <v>10067618.304000005</v>
      </c>
      <c r="I11" s="126">
        <f t="shared" si="5"/>
        <v>10873027.768320007</v>
      </c>
      <c r="J11" s="125">
        <f t="shared" si="5"/>
        <v>11742869.989785602</v>
      </c>
    </row>
    <row r="12" spans="1:10" ht="12.75">
      <c r="A12" s="110"/>
      <c r="B12" s="114"/>
      <c r="C12" s="113"/>
      <c r="D12" s="114"/>
      <c r="E12" s="127"/>
      <c r="F12" s="128"/>
      <c r="G12" s="129"/>
      <c r="H12" s="128"/>
      <c r="I12" s="129"/>
      <c r="J12" s="128"/>
    </row>
    <row r="13" spans="1:10" ht="12.75">
      <c r="A13" s="110" t="s">
        <v>18</v>
      </c>
      <c r="B13" s="114">
        <v>1275000</v>
      </c>
      <c r="C13" s="113">
        <v>1125000</v>
      </c>
      <c r="D13" s="114">
        <v>975000</v>
      </c>
      <c r="E13" s="115">
        <v>825000</v>
      </c>
      <c r="F13" s="116">
        <v>675000</v>
      </c>
      <c r="G13" s="117">
        <v>525000</v>
      </c>
      <c r="H13" s="116">
        <v>375000</v>
      </c>
      <c r="I13" s="117">
        <v>375000</v>
      </c>
      <c r="J13" s="116">
        <v>337500</v>
      </c>
    </row>
    <row r="14" spans="1:10" ht="12.75">
      <c r="A14" s="110" t="s">
        <v>126</v>
      </c>
      <c r="B14" s="114">
        <f>B11-B13</f>
        <v>5040000</v>
      </c>
      <c r="C14" s="113">
        <f>C11-C13</f>
        <v>6045000</v>
      </c>
      <c r="D14" s="114">
        <f>D11-D13</f>
        <v>6425000</v>
      </c>
      <c r="E14" s="114">
        <f aca="true" t="shared" si="6" ref="E14:J14">E11-E13</f>
        <v>7167000</v>
      </c>
      <c r="F14" s="114">
        <f t="shared" si="6"/>
        <v>7956360.000000007</v>
      </c>
      <c r="G14" s="114">
        <f t="shared" si="6"/>
        <v>8796868.800000004</v>
      </c>
      <c r="H14" s="114">
        <f t="shared" si="6"/>
        <v>9692618.304000005</v>
      </c>
      <c r="I14" s="114">
        <f t="shared" si="6"/>
        <v>10498027.768320007</v>
      </c>
      <c r="J14" s="114">
        <f t="shared" si="6"/>
        <v>11405369.989785602</v>
      </c>
    </row>
    <row r="15" spans="1:10" ht="12.75">
      <c r="A15" s="110" t="s">
        <v>19</v>
      </c>
      <c r="B15" s="114">
        <f>0.4*B14</f>
        <v>2016000</v>
      </c>
      <c r="C15" s="113">
        <f>0.4*C14</f>
        <v>2418000</v>
      </c>
      <c r="D15" s="114">
        <f>0.4*D14</f>
        <v>2570000</v>
      </c>
      <c r="E15" s="114">
        <f aca="true" t="shared" si="7" ref="E15:J15">0.4*E14</f>
        <v>2866800</v>
      </c>
      <c r="F15" s="114">
        <f t="shared" si="7"/>
        <v>3182544.0000000033</v>
      </c>
      <c r="G15" s="114">
        <f t="shared" si="7"/>
        <v>3518747.520000002</v>
      </c>
      <c r="H15" s="114">
        <f t="shared" si="7"/>
        <v>3877047.3216000022</v>
      </c>
      <c r="I15" s="114">
        <f t="shared" si="7"/>
        <v>4199211.107328003</v>
      </c>
      <c r="J15" s="114">
        <f t="shared" si="7"/>
        <v>4562147.995914241</v>
      </c>
    </row>
    <row r="16" spans="1:10" ht="13.5" thickBot="1">
      <c r="A16" s="110" t="s">
        <v>127</v>
      </c>
      <c r="B16" s="130">
        <f>B14-B15</f>
        <v>3024000</v>
      </c>
      <c r="C16" s="131">
        <f>C14-C15</f>
        <v>3627000</v>
      </c>
      <c r="D16" s="130">
        <f>D14-D15</f>
        <v>3855000</v>
      </c>
      <c r="E16" s="130">
        <f aca="true" t="shared" si="8" ref="E16:J16">E14-E15</f>
        <v>4300200</v>
      </c>
      <c r="F16" s="130">
        <f t="shared" si="8"/>
        <v>4773816.000000004</v>
      </c>
      <c r="G16" s="130">
        <f t="shared" si="8"/>
        <v>5278121.280000003</v>
      </c>
      <c r="H16" s="130">
        <f t="shared" si="8"/>
        <v>5815570.982400003</v>
      </c>
      <c r="I16" s="130">
        <f t="shared" si="8"/>
        <v>6298816.660992004</v>
      </c>
      <c r="J16" s="130">
        <f t="shared" si="8"/>
        <v>6843221.993871361</v>
      </c>
    </row>
    <row r="17" spans="1:10" ht="13.5" thickTop="1">
      <c r="A17" s="110"/>
      <c r="B17" s="111"/>
      <c r="C17" s="20"/>
      <c r="D17" s="111"/>
      <c r="E17" s="127"/>
      <c r="F17" s="128"/>
      <c r="G17" s="128"/>
      <c r="H17" s="132"/>
      <c r="I17" s="129"/>
      <c r="J17" s="128"/>
    </row>
    <row r="18" spans="1:10" ht="12.75">
      <c r="A18" s="110" t="s">
        <v>21</v>
      </c>
      <c r="B18" s="114">
        <v>1512000</v>
      </c>
      <c r="C18" s="113">
        <v>1813500</v>
      </c>
      <c r="D18" s="114">
        <v>1927500</v>
      </c>
      <c r="E18" s="115">
        <f>E16/2</f>
        <v>2150100</v>
      </c>
      <c r="F18" s="116">
        <f aca="true" t="shared" si="9" ref="F18:J19">F$16/2</f>
        <v>2386908.000000002</v>
      </c>
      <c r="G18" s="116">
        <f t="shared" si="9"/>
        <v>2639060.6400000015</v>
      </c>
      <c r="H18" s="117">
        <f t="shared" si="9"/>
        <v>2907785.4912000014</v>
      </c>
      <c r="I18" s="115">
        <f t="shared" si="9"/>
        <v>3149408.330496002</v>
      </c>
      <c r="J18" s="116">
        <f t="shared" si="9"/>
        <v>3421610.9969356805</v>
      </c>
    </row>
    <row r="19" spans="1:10" ht="12.75">
      <c r="A19" s="133" t="s">
        <v>22</v>
      </c>
      <c r="B19" s="118">
        <v>1512000</v>
      </c>
      <c r="C19" s="119">
        <v>1813500</v>
      </c>
      <c r="D19" s="118">
        <v>1927500</v>
      </c>
      <c r="E19" s="120">
        <f>E16-E18</f>
        <v>2150100</v>
      </c>
      <c r="F19" s="121">
        <f t="shared" si="9"/>
        <v>2386908.000000002</v>
      </c>
      <c r="G19" s="121">
        <f t="shared" si="9"/>
        <v>2639060.6400000015</v>
      </c>
      <c r="H19" s="120">
        <f t="shared" si="9"/>
        <v>2907785.4912000014</v>
      </c>
      <c r="I19" s="121">
        <f t="shared" si="9"/>
        <v>3149408.330496002</v>
      </c>
      <c r="J19" s="121">
        <f t="shared" si="9"/>
        <v>3421610.9969356805</v>
      </c>
    </row>
    <row r="22" spans="5:10" ht="12.75">
      <c r="E22" s="8"/>
      <c r="F22" s="8"/>
      <c r="G22" s="8"/>
      <c r="H22" s="8"/>
      <c r="I22" s="8"/>
      <c r="J22" s="8"/>
    </row>
    <row r="23" spans="1:10" ht="12.75">
      <c r="A23" s="134"/>
      <c r="B23" s="135"/>
      <c r="C23" s="136"/>
      <c r="D23" s="135"/>
      <c r="E23" s="137" t="s">
        <v>122</v>
      </c>
      <c r="F23" s="138"/>
      <c r="G23" s="139"/>
      <c r="H23" s="138"/>
      <c r="I23" s="139"/>
      <c r="J23" s="138"/>
    </row>
    <row r="24" spans="1:10" ht="12.75">
      <c r="A24" s="133" t="s">
        <v>128</v>
      </c>
      <c r="B24" s="140">
        <v>2003</v>
      </c>
      <c r="C24" s="33">
        <v>2004</v>
      </c>
      <c r="D24" s="140">
        <v>2005</v>
      </c>
      <c r="E24" s="141">
        <v>2006</v>
      </c>
      <c r="F24" s="142">
        <v>2007</v>
      </c>
      <c r="G24" s="141">
        <v>2008</v>
      </c>
      <c r="H24" s="142">
        <v>2009</v>
      </c>
      <c r="I24" s="141">
        <v>2010</v>
      </c>
      <c r="J24" s="142">
        <v>2011</v>
      </c>
    </row>
    <row r="25" spans="1:10" ht="12.75">
      <c r="A25" s="110"/>
      <c r="B25" s="111"/>
      <c r="C25" s="20"/>
      <c r="D25" s="111"/>
      <c r="E25" s="20"/>
      <c r="F25" s="111"/>
      <c r="G25" s="111"/>
      <c r="H25" s="111"/>
      <c r="I25" s="111"/>
      <c r="J25" s="143"/>
    </row>
    <row r="26" spans="1:10" ht="12.75">
      <c r="A26" s="110" t="s">
        <v>1</v>
      </c>
      <c r="B26" s="114">
        <v>1469000</v>
      </c>
      <c r="C26" s="113">
        <v>2032500</v>
      </c>
      <c r="D26" s="114">
        <v>2460000</v>
      </c>
      <c r="E26" s="144">
        <f aca="true" t="shared" si="10" ref="E26:J26">E6*0.0492</f>
        <v>2656800</v>
      </c>
      <c r="F26" s="145">
        <f t="shared" si="10"/>
        <v>2869344.0000000005</v>
      </c>
      <c r="G26" s="145">
        <f t="shared" si="10"/>
        <v>3098891.520000001</v>
      </c>
      <c r="H26" s="145">
        <f t="shared" si="10"/>
        <v>3346802.841600001</v>
      </c>
      <c r="I26" s="145">
        <f t="shared" si="10"/>
        <v>3614547.068928001</v>
      </c>
      <c r="J26" s="146">
        <f t="shared" si="10"/>
        <v>3903710.834442241</v>
      </c>
    </row>
    <row r="27" spans="1:10" ht="12.75">
      <c r="A27" s="110" t="s">
        <v>2</v>
      </c>
      <c r="B27" s="114">
        <v>9000000</v>
      </c>
      <c r="C27" s="113">
        <v>9375000</v>
      </c>
      <c r="D27" s="114">
        <v>9750000</v>
      </c>
      <c r="E27" s="144">
        <f aca="true" t="shared" si="11" ref="E27:J27">E6*0.195</f>
        <v>10530000</v>
      </c>
      <c r="F27" s="145">
        <f t="shared" si="11"/>
        <v>11372400.000000002</v>
      </c>
      <c r="G27" s="145">
        <f t="shared" si="11"/>
        <v>12282192.000000004</v>
      </c>
      <c r="H27" s="145">
        <f t="shared" si="11"/>
        <v>13264767.360000003</v>
      </c>
      <c r="I27" s="145">
        <f t="shared" si="11"/>
        <v>14325948.748800004</v>
      </c>
      <c r="J27" s="146">
        <f t="shared" si="11"/>
        <v>15472024.648704004</v>
      </c>
    </row>
    <row r="28" spans="1:10" ht="12.75">
      <c r="A28" s="110" t="s">
        <v>3</v>
      </c>
      <c r="B28" s="118">
        <v>4125000</v>
      </c>
      <c r="C28" s="119">
        <v>4625000</v>
      </c>
      <c r="D28" s="118">
        <v>5250000</v>
      </c>
      <c r="E28" s="32">
        <f aca="true" t="shared" si="12" ref="E28:J28">E6*0.105</f>
        <v>5670000</v>
      </c>
      <c r="F28" s="147">
        <f t="shared" si="12"/>
        <v>6123600.000000001</v>
      </c>
      <c r="G28" s="147">
        <f t="shared" si="12"/>
        <v>6613488.000000001</v>
      </c>
      <c r="H28" s="147">
        <f t="shared" si="12"/>
        <v>7142567.040000001</v>
      </c>
      <c r="I28" s="147">
        <f t="shared" si="12"/>
        <v>7713972.403200001</v>
      </c>
      <c r="J28" s="148">
        <f t="shared" si="12"/>
        <v>8331090.195456002</v>
      </c>
    </row>
    <row r="29" spans="1:10" ht="12.75">
      <c r="A29" s="110" t="s">
        <v>129</v>
      </c>
      <c r="B29" s="114">
        <f aca="true" t="shared" si="13" ref="B29:J29">SUM(B26:B28)</f>
        <v>14594000</v>
      </c>
      <c r="C29" s="113">
        <f t="shared" si="13"/>
        <v>16032500</v>
      </c>
      <c r="D29" s="114">
        <f t="shared" si="13"/>
        <v>17460000</v>
      </c>
      <c r="E29" s="144">
        <f t="shared" si="13"/>
        <v>18856800</v>
      </c>
      <c r="F29" s="145">
        <f t="shared" si="13"/>
        <v>20365344.000000004</v>
      </c>
      <c r="G29" s="145">
        <f t="shared" si="13"/>
        <v>21994571.520000007</v>
      </c>
      <c r="H29" s="145">
        <f t="shared" si="13"/>
        <v>23754137.241600007</v>
      </c>
      <c r="I29" s="145">
        <f t="shared" si="13"/>
        <v>25654468.220928006</v>
      </c>
      <c r="J29" s="146">
        <f t="shared" si="13"/>
        <v>27706825.678602245</v>
      </c>
    </row>
    <row r="30" spans="1:10" ht="12.75">
      <c r="A30" s="110"/>
      <c r="B30" s="114"/>
      <c r="C30" s="113"/>
      <c r="D30" s="114"/>
      <c r="E30" s="20"/>
      <c r="F30" s="111"/>
      <c r="G30" s="111"/>
      <c r="H30" s="111"/>
      <c r="I30" s="111"/>
      <c r="J30" s="143"/>
    </row>
    <row r="31" spans="1:10" ht="12.75">
      <c r="A31" s="110" t="s">
        <v>23</v>
      </c>
      <c r="B31" s="114">
        <v>19000000</v>
      </c>
      <c r="C31" s="113">
        <v>18375000</v>
      </c>
      <c r="D31" s="114">
        <v>17500000</v>
      </c>
      <c r="E31" s="144">
        <f aca="true" t="shared" si="14" ref="E31:J31">E6*0.35</f>
        <v>18900000</v>
      </c>
      <c r="F31" s="145">
        <f t="shared" si="14"/>
        <v>20412000</v>
      </c>
      <c r="G31" s="145">
        <f t="shared" si="14"/>
        <v>22044960.000000004</v>
      </c>
      <c r="H31" s="145">
        <f t="shared" si="14"/>
        <v>23808556.800000004</v>
      </c>
      <c r="I31" s="145">
        <f t="shared" si="14"/>
        <v>25713241.344000004</v>
      </c>
      <c r="J31" s="146">
        <f t="shared" si="14"/>
        <v>27770300.651520006</v>
      </c>
    </row>
    <row r="32" spans="1:10" ht="12.75">
      <c r="A32" s="110" t="s">
        <v>24</v>
      </c>
      <c r="B32" s="118">
        <v>16000000</v>
      </c>
      <c r="C32" s="119">
        <v>15375000</v>
      </c>
      <c r="D32" s="118">
        <v>14750000</v>
      </c>
      <c r="E32" s="32">
        <f aca="true" t="shared" si="15" ref="E32:J32">E6*0.295</f>
        <v>15930000</v>
      </c>
      <c r="F32" s="147">
        <f t="shared" si="15"/>
        <v>17204400</v>
      </c>
      <c r="G32" s="147">
        <f t="shared" si="15"/>
        <v>18580752.000000004</v>
      </c>
      <c r="H32" s="147">
        <f t="shared" si="15"/>
        <v>20067212.160000004</v>
      </c>
      <c r="I32" s="147">
        <f t="shared" si="15"/>
        <v>21672589.132800005</v>
      </c>
      <c r="J32" s="148">
        <f t="shared" si="15"/>
        <v>23406396.263424005</v>
      </c>
    </row>
    <row r="33" spans="1:10" ht="12.75">
      <c r="A33" s="110" t="s">
        <v>130</v>
      </c>
      <c r="B33" s="114">
        <f aca="true" t="shared" si="16" ref="B33:J33">SUM(B31:B32)</f>
        <v>35000000</v>
      </c>
      <c r="C33" s="113">
        <f t="shared" si="16"/>
        <v>33750000</v>
      </c>
      <c r="D33" s="114">
        <f t="shared" si="16"/>
        <v>32250000</v>
      </c>
      <c r="E33" s="149">
        <f t="shared" si="16"/>
        <v>34830000</v>
      </c>
      <c r="F33" s="150">
        <f t="shared" si="16"/>
        <v>37616400</v>
      </c>
      <c r="G33" s="150">
        <f t="shared" si="16"/>
        <v>40625712.00000001</v>
      </c>
      <c r="H33" s="150">
        <f t="shared" si="16"/>
        <v>43875768.96000001</v>
      </c>
      <c r="I33" s="150">
        <f t="shared" si="16"/>
        <v>47385830.47680001</v>
      </c>
      <c r="J33" s="151">
        <f t="shared" si="16"/>
        <v>51176696.91494401</v>
      </c>
    </row>
    <row r="34" spans="1:10" ht="13.5" thickBot="1">
      <c r="A34" s="110" t="s">
        <v>4</v>
      </c>
      <c r="B34" s="152">
        <f>B29+B31+B32</f>
        <v>49594000</v>
      </c>
      <c r="C34" s="153">
        <f>C29+C31+C32</f>
        <v>49782500</v>
      </c>
      <c r="D34" s="152">
        <f>D29+D31+D32</f>
        <v>49710000</v>
      </c>
      <c r="E34" s="154">
        <f aca="true" t="shared" si="17" ref="E34:J34">E29+E33</f>
        <v>53686800</v>
      </c>
      <c r="F34" s="155">
        <f t="shared" si="17"/>
        <v>57981744</v>
      </c>
      <c r="G34" s="155">
        <f t="shared" si="17"/>
        <v>62620283.52000001</v>
      </c>
      <c r="H34" s="155">
        <f t="shared" si="17"/>
        <v>67629906.20160002</v>
      </c>
      <c r="I34" s="155">
        <f t="shared" si="17"/>
        <v>73040298.69772801</v>
      </c>
      <c r="J34" s="156">
        <f t="shared" si="17"/>
        <v>78883522.59354626</v>
      </c>
    </row>
    <row r="35" spans="1:10" ht="13.5" thickTop="1">
      <c r="A35" s="110"/>
      <c r="B35" s="114"/>
      <c r="C35" s="113"/>
      <c r="D35" s="114"/>
      <c r="E35" s="20"/>
      <c r="F35" s="111"/>
      <c r="G35" s="111"/>
      <c r="H35" s="111"/>
      <c r="I35" s="111"/>
      <c r="J35" s="143"/>
    </row>
    <row r="36" spans="1:10" ht="12.75">
      <c r="A36" s="110"/>
      <c r="B36" s="114"/>
      <c r="C36" s="113"/>
      <c r="D36" s="114"/>
      <c r="E36" s="20"/>
      <c r="F36" s="111"/>
      <c r="G36" s="111"/>
      <c r="H36" s="111"/>
      <c r="I36" s="111"/>
      <c r="J36" s="143"/>
    </row>
    <row r="37" spans="1:10" ht="12.75">
      <c r="A37" s="110" t="s">
        <v>5</v>
      </c>
      <c r="B37" s="114">
        <v>1500000</v>
      </c>
      <c r="C37" s="113">
        <v>2250000</v>
      </c>
      <c r="D37" s="114">
        <v>2500000</v>
      </c>
      <c r="E37" s="144">
        <f aca="true" t="shared" si="18" ref="E37:J37">E6*0.05</f>
        <v>2700000</v>
      </c>
      <c r="F37" s="145">
        <f t="shared" si="18"/>
        <v>2916000.0000000005</v>
      </c>
      <c r="G37" s="145">
        <f t="shared" si="18"/>
        <v>3149280.000000001</v>
      </c>
      <c r="H37" s="145">
        <f t="shared" si="18"/>
        <v>3401222.400000001</v>
      </c>
      <c r="I37" s="145">
        <f t="shared" si="18"/>
        <v>3673320.192000001</v>
      </c>
      <c r="J37" s="146">
        <f t="shared" si="18"/>
        <v>3967185.807360001</v>
      </c>
    </row>
    <row r="38" spans="1:10" ht="12.75">
      <c r="A38" s="110" t="s">
        <v>6</v>
      </c>
      <c r="B38" s="112">
        <v>2500000</v>
      </c>
      <c r="C38" s="157">
        <v>2500000</v>
      </c>
      <c r="D38" s="112">
        <v>2500000</v>
      </c>
      <c r="E38" s="157">
        <v>2500000</v>
      </c>
      <c r="F38" s="112">
        <v>2500000</v>
      </c>
      <c r="G38" s="112">
        <v>2500000</v>
      </c>
      <c r="H38" s="158">
        <v>0</v>
      </c>
      <c r="I38" s="145">
        <v>0</v>
      </c>
      <c r="J38" s="159">
        <v>0</v>
      </c>
    </row>
    <row r="39" spans="1:10" ht="12.75">
      <c r="A39" s="110" t="s">
        <v>131</v>
      </c>
      <c r="B39" s="112">
        <v>0</v>
      </c>
      <c r="C39" s="157">
        <v>0</v>
      </c>
      <c r="D39" s="112">
        <v>0</v>
      </c>
      <c r="E39" s="157">
        <v>0</v>
      </c>
      <c r="F39" s="112">
        <v>0</v>
      </c>
      <c r="G39" s="112">
        <v>0</v>
      </c>
      <c r="H39" s="112">
        <v>0</v>
      </c>
      <c r="I39" s="112">
        <v>500000</v>
      </c>
      <c r="J39" s="146">
        <v>500000</v>
      </c>
    </row>
    <row r="40" spans="1:10" ht="12.75">
      <c r="A40" s="110" t="s">
        <v>7</v>
      </c>
      <c r="B40" s="118">
        <v>3375000</v>
      </c>
      <c r="C40" s="119">
        <v>3500000</v>
      </c>
      <c r="D40" s="118">
        <v>3750000</v>
      </c>
      <c r="E40" s="32">
        <f aca="true" t="shared" si="19" ref="E40:J40">E6*0.075</f>
        <v>4050000</v>
      </c>
      <c r="F40" s="147">
        <f t="shared" si="19"/>
        <v>4374000</v>
      </c>
      <c r="G40" s="147">
        <f t="shared" si="19"/>
        <v>4723920.000000001</v>
      </c>
      <c r="H40" s="147">
        <f t="shared" si="19"/>
        <v>5101833.600000001</v>
      </c>
      <c r="I40" s="147">
        <f t="shared" si="19"/>
        <v>5509980.288000002</v>
      </c>
      <c r="J40" s="148">
        <f t="shared" si="19"/>
        <v>5950778.711040001</v>
      </c>
    </row>
    <row r="41" spans="1:10" ht="12.75">
      <c r="A41" s="110" t="s">
        <v>132</v>
      </c>
      <c r="B41" s="114">
        <f aca="true" t="shared" si="20" ref="B41:J41">SUM(B37:B40)</f>
        <v>7375000</v>
      </c>
      <c r="C41" s="113">
        <f t="shared" si="20"/>
        <v>8250000</v>
      </c>
      <c r="D41" s="114">
        <f t="shared" si="20"/>
        <v>8750000</v>
      </c>
      <c r="E41" s="144">
        <f t="shared" si="20"/>
        <v>9250000</v>
      </c>
      <c r="F41" s="145">
        <f t="shared" si="20"/>
        <v>9790000</v>
      </c>
      <c r="G41" s="145">
        <f t="shared" si="20"/>
        <v>10373200.000000002</v>
      </c>
      <c r="H41" s="145">
        <f t="shared" si="20"/>
        <v>8503056.000000002</v>
      </c>
      <c r="I41" s="145">
        <f t="shared" si="20"/>
        <v>9683300.480000002</v>
      </c>
      <c r="J41" s="146">
        <f t="shared" si="20"/>
        <v>10417964.518400002</v>
      </c>
    </row>
    <row r="42" spans="1:10" ht="12.75">
      <c r="A42" s="110"/>
      <c r="B42" s="114"/>
      <c r="C42" s="113"/>
      <c r="D42" s="114"/>
      <c r="E42" s="20"/>
      <c r="F42" s="111"/>
      <c r="G42" s="111"/>
      <c r="H42" s="111"/>
      <c r="I42" s="111"/>
      <c r="J42" s="143"/>
    </row>
    <row r="43" spans="1:10" ht="12.75">
      <c r="A43" s="110" t="s">
        <v>8</v>
      </c>
      <c r="B43" s="114">
        <v>10000000</v>
      </c>
      <c r="C43" s="113">
        <v>7500000</v>
      </c>
      <c r="D43" s="114">
        <v>5000000</v>
      </c>
      <c r="E43" s="144">
        <v>5000000</v>
      </c>
      <c r="F43" s="160">
        <v>2500000</v>
      </c>
      <c r="G43" s="158">
        <v>0</v>
      </c>
      <c r="H43" s="158">
        <v>0</v>
      </c>
      <c r="I43" s="145">
        <v>0</v>
      </c>
      <c r="J43" s="146">
        <v>0</v>
      </c>
    </row>
    <row r="44" spans="1:10" ht="12.75">
      <c r="A44" s="110" t="s">
        <v>9</v>
      </c>
      <c r="B44" s="114">
        <v>5000000</v>
      </c>
      <c r="C44" s="113">
        <v>5000000</v>
      </c>
      <c r="D44" s="114">
        <v>5000000</v>
      </c>
      <c r="E44" s="32">
        <v>5000000</v>
      </c>
      <c r="F44" s="147">
        <v>5000000</v>
      </c>
      <c r="G44" s="147">
        <v>5000000</v>
      </c>
      <c r="H44" s="147">
        <v>5000000</v>
      </c>
      <c r="I44" s="147">
        <v>4500000</v>
      </c>
      <c r="J44" s="148">
        <v>4000000</v>
      </c>
    </row>
    <row r="45" spans="1:10" ht="13.5" thickBot="1">
      <c r="A45" s="110" t="s">
        <v>133</v>
      </c>
      <c r="B45" s="152">
        <f aca="true" t="shared" si="21" ref="B45:G45">SUM(B43:B44)</f>
        <v>15000000</v>
      </c>
      <c r="C45" s="153">
        <f t="shared" si="21"/>
        <v>12500000</v>
      </c>
      <c r="D45" s="152">
        <f t="shared" si="21"/>
        <v>10000000</v>
      </c>
      <c r="E45" s="153">
        <f t="shared" si="21"/>
        <v>10000000</v>
      </c>
      <c r="F45" s="152">
        <f t="shared" si="21"/>
        <v>7500000</v>
      </c>
      <c r="G45" s="152">
        <f t="shared" si="21"/>
        <v>5000000</v>
      </c>
      <c r="H45" s="152">
        <f>SUM(H43:H44)+H38</f>
        <v>5000000</v>
      </c>
      <c r="I45" s="152">
        <f>SUM(I43:I44)+I38</f>
        <v>4500000</v>
      </c>
      <c r="J45" s="161">
        <f>SUM(J43:J44)+J38</f>
        <v>4000000</v>
      </c>
    </row>
    <row r="46" spans="1:10" ht="13.5" thickTop="1">
      <c r="A46" s="110" t="s">
        <v>10</v>
      </c>
      <c r="B46" s="114">
        <f aca="true" t="shared" si="22" ref="B46:J46">B41+B45</f>
        <v>22375000</v>
      </c>
      <c r="C46" s="113">
        <f t="shared" si="22"/>
        <v>20750000</v>
      </c>
      <c r="D46" s="114">
        <f t="shared" si="22"/>
        <v>18750000</v>
      </c>
      <c r="E46" s="113">
        <f t="shared" si="22"/>
        <v>19250000</v>
      </c>
      <c r="F46" s="114">
        <f t="shared" si="22"/>
        <v>17290000</v>
      </c>
      <c r="G46" s="114">
        <f t="shared" si="22"/>
        <v>15373200.000000002</v>
      </c>
      <c r="H46" s="114">
        <f t="shared" si="22"/>
        <v>13503056.000000002</v>
      </c>
      <c r="I46" s="114">
        <f t="shared" si="22"/>
        <v>14183300.480000002</v>
      </c>
      <c r="J46" s="162">
        <f t="shared" si="22"/>
        <v>14417964.518400002</v>
      </c>
    </row>
    <row r="47" spans="1:10" ht="12.75">
      <c r="A47" s="110"/>
      <c r="B47" s="114"/>
      <c r="C47" s="113"/>
      <c r="D47" s="114"/>
      <c r="E47" s="20"/>
      <c r="F47" s="111"/>
      <c r="G47" s="111"/>
      <c r="H47" s="111"/>
      <c r="I47" s="111"/>
      <c r="J47" s="143"/>
    </row>
    <row r="48" spans="1:10" ht="12.75">
      <c r="A48" s="110" t="s">
        <v>11</v>
      </c>
      <c r="B48" s="114">
        <v>9587500</v>
      </c>
      <c r="C48" s="113">
        <v>9587500</v>
      </c>
      <c r="D48" s="114">
        <v>9587500</v>
      </c>
      <c r="E48" s="113">
        <v>9587500</v>
      </c>
      <c r="F48" s="114">
        <v>9587500</v>
      </c>
      <c r="G48" s="114">
        <v>9587500</v>
      </c>
      <c r="H48" s="114">
        <v>9587500</v>
      </c>
      <c r="I48" s="114">
        <v>9587500</v>
      </c>
      <c r="J48" s="162">
        <v>9587500</v>
      </c>
    </row>
    <row r="49" spans="1:10" ht="12.75">
      <c r="A49" s="110" t="s">
        <v>12</v>
      </c>
      <c r="B49" s="118">
        <v>17631500</v>
      </c>
      <c r="C49" s="119">
        <v>19445000</v>
      </c>
      <c r="D49" s="118">
        <v>21372500</v>
      </c>
      <c r="E49" s="119">
        <f aca="true" t="shared" si="23" ref="E49:J49">E19+D49</f>
        <v>23522600</v>
      </c>
      <c r="F49" s="118">
        <f t="shared" si="23"/>
        <v>25909508</v>
      </c>
      <c r="G49" s="118">
        <f t="shared" si="23"/>
        <v>28548568.64</v>
      </c>
      <c r="H49" s="118">
        <f t="shared" si="23"/>
        <v>31456354.1312</v>
      </c>
      <c r="I49" s="118">
        <f t="shared" si="23"/>
        <v>34605762.461696</v>
      </c>
      <c r="J49" s="163">
        <f t="shared" si="23"/>
        <v>38027373.45863168</v>
      </c>
    </row>
    <row r="50" spans="1:10" ht="12.75">
      <c r="A50" s="110" t="s">
        <v>134</v>
      </c>
      <c r="B50" s="114">
        <f aca="true" t="shared" si="24" ref="B50:J50">SUM(B48:B49)</f>
        <v>27219000</v>
      </c>
      <c r="C50" s="113">
        <f t="shared" si="24"/>
        <v>29032500</v>
      </c>
      <c r="D50" s="114">
        <f t="shared" si="24"/>
        <v>30960000</v>
      </c>
      <c r="E50" s="164">
        <f t="shared" si="24"/>
        <v>33110100</v>
      </c>
      <c r="F50" s="165">
        <f t="shared" si="24"/>
        <v>35497008</v>
      </c>
      <c r="G50" s="165">
        <f t="shared" si="24"/>
        <v>38136068.64</v>
      </c>
      <c r="H50" s="165">
        <f t="shared" si="24"/>
        <v>41043854.1312</v>
      </c>
      <c r="I50" s="165">
        <f t="shared" si="24"/>
        <v>44193262.461696</v>
      </c>
      <c r="J50" s="166">
        <f t="shared" si="24"/>
        <v>47614873.45863168</v>
      </c>
    </row>
    <row r="51" spans="1:10" ht="13.5" thickBot="1">
      <c r="A51" s="110" t="s">
        <v>135</v>
      </c>
      <c r="B51" s="130">
        <f>B46+B48+B49</f>
        <v>49594000</v>
      </c>
      <c r="C51" s="131">
        <f aca="true" t="shared" si="25" ref="C51:J51">C46+C48+C49</f>
        <v>49782500</v>
      </c>
      <c r="D51" s="130">
        <f t="shared" si="25"/>
        <v>49710000</v>
      </c>
      <c r="E51" s="131">
        <f t="shared" si="25"/>
        <v>52360100</v>
      </c>
      <c r="F51" s="130">
        <f t="shared" si="25"/>
        <v>52787008</v>
      </c>
      <c r="G51" s="130">
        <f t="shared" si="25"/>
        <v>53509268.64</v>
      </c>
      <c r="H51" s="167">
        <f t="shared" si="25"/>
        <v>54546910.1312</v>
      </c>
      <c r="I51" s="130">
        <f t="shared" si="25"/>
        <v>58376562.941696</v>
      </c>
      <c r="J51" s="168">
        <f t="shared" si="25"/>
        <v>62032837.97703168</v>
      </c>
    </row>
    <row r="52" spans="1:10" ht="13.5" thickTop="1">
      <c r="A52" s="110"/>
      <c r="B52" s="111"/>
      <c r="C52" s="20"/>
      <c r="D52" s="111"/>
      <c r="E52" s="171"/>
      <c r="F52" s="171"/>
      <c r="G52" s="171"/>
      <c r="H52" s="171"/>
      <c r="I52" s="171"/>
      <c r="J52" s="171"/>
    </row>
    <row r="53" spans="1:10" ht="12.75">
      <c r="A53" s="133" t="s">
        <v>136</v>
      </c>
      <c r="B53" s="169"/>
      <c r="C53" s="8"/>
      <c r="D53" s="169"/>
      <c r="E53" s="170">
        <f aca="true" t="shared" si="26" ref="E53:J53">E34-E51</f>
        <v>1326700</v>
      </c>
      <c r="F53" s="170">
        <f t="shared" si="26"/>
        <v>5194736</v>
      </c>
      <c r="G53" s="170">
        <f t="shared" si="26"/>
        <v>9111014.88000001</v>
      </c>
      <c r="H53" s="170">
        <f t="shared" si="26"/>
        <v>13082996.070400015</v>
      </c>
      <c r="I53" s="170">
        <f t="shared" si="26"/>
        <v>14663735.756032005</v>
      </c>
      <c r="J53" s="170">
        <f t="shared" si="26"/>
        <v>16850684.61651458</v>
      </c>
    </row>
    <row r="55" ht="12.75">
      <c r="A55" t="s">
        <v>142</v>
      </c>
    </row>
    <row r="56" spans="1:2" ht="12.75">
      <c r="A56" t="s">
        <v>1</v>
      </c>
      <c r="B56" s="30">
        <f>E26</f>
        <v>2656800</v>
      </c>
    </row>
    <row r="57" spans="1:2" ht="12.75">
      <c r="A57" t="s">
        <v>2</v>
      </c>
      <c r="B57" s="30">
        <f>E27</f>
        <v>10530000</v>
      </c>
    </row>
    <row r="58" spans="1:2" ht="12.75">
      <c r="A58" t="s">
        <v>137</v>
      </c>
      <c r="B58" s="30">
        <f>E28</f>
        <v>5670000</v>
      </c>
    </row>
    <row r="59" spans="1:2" ht="12.75">
      <c r="A59" t="s">
        <v>138</v>
      </c>
      <c r="B59" s="32">
        <f>E33</f>
        <v>34830000</v>
      </c>
    </row>
    <row r="60" spans="1:2" ht="12.75">
      <c r="A60" t="s">
        <v>4</v>
      </c>
      <c r="B60" s="30">
        <f>SUM(B56:B59)</f>
        <v>53686800</v>
      </c>
    </row>
    <row r="62" spans="1:2" ht="12.75">
      <c r="A62" t="s">
        <v>5</v>
      </c>
      <c r="B62" s="30">
        <f>E37</f>
        <v>2700000</v>
      </c>
    </row>
    <row r="63" spans="1:2" ht="12.75">
      <c r="A63" t="s">
        <v>141</v>
      </c>
      <c r="B63" s="30">
        <v>2500000</v>
      </c>
    </row>
    <row r="64" spans="1:2" ht="12.75">
      <c r="A64" t="s">
        <v>7</v>
      </c>
      <c r="B64" s="30">
        <f>E40</f>
        <v>4050000</v>
      </c>
    </row>
    <row r="65" spans="1:2" ht="12.75">
      <c r="A65" t="s">
        <v>139</v>
      </c>
      <c r="B65" s="27">
        <f>E45</f>
        <v>10000000</v>
      </c>
    </row>
    <row r="66" spans="1:2" ht="12.75">
      <c r="A66" t="s">
        <v>11</v>
      </c>
      <c r="B66" s="27">
        <f>E48</f>
        <v>9587500</v>
      </c>
    </row>
    <row r="67" spans="1:2" ht="12.75">
      <c r="A67" t="s">
        <v>12</v>
      </c>
      <c r="B67" s="31">
        <f>E49</f>
        <v>23522600</v>
      </c>
    </row>
    <row r="68" spans="1:2" ht="12.75">
      <c r="A68" t="s">
        <v>135</v>
      </c>
      <c r="B68" s="30">
        <f>SUM(B62:B67)</f>
        <v>52360100</v>
      </c>
    </row>
    <row r="70" spans="1:2" ht="12.75">
      <c r="A70" t="s">
        <v>140</v>
      </c>
      <c r="B70" s="30">
        <f>B60-B68</f>
        <v>1326700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Data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Trageser</dc:creator>
  <cp:keywords/>
  <dc:description/>
  <cp:lastModifiedBy>Diana Trageser</cp:lastModifiedBy>
  <cp:lastPrinted>2005-10-30T21:22:27Z</cp:lastPrinted>
  <dcterms:created xsi:type="dcterms:W3CDTF">2005-10-25T02:38:57Z</dcterms:created>
  <dcterms:modified xsi:type="dcterms:W3CDTF">2005-11-05T19:42:28Z</dcterms:modified>
  <cp:category/>
  <cp:version/>
  <cp:contentType/>
  <cp:contentStatus/>
</cp:coreProperties>
</file>