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Data" sheetId="1" r:id="rId1"/>
    <sheet name="Cash Flow" sheetId="2" r:id="rId2"/>
    <sheet name="All 6 Projects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<sst xmlns="http://schemas.openxmlformats.org/spreadsheetml/2006/main" count="91" uniqueCount="68">
  <si>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Roaster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</si>
  <si>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</si>
  <si>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</si>
  <si>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</si>
  <si>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</si>
  <si>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</si>
  <si>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</si>
  <si>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</si>
  <si>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</si>
  <si>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</si>
  <si>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</si>
  <si>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</si>
  <si>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(annual sales)</t>
  </si>
  <si>
    <t>10 workers</t>
  </si>
  <si>
    <t>Coffee sales/lb</t>
  </si>
  <si>
    <t>Coffee cost/lb</t>
  </si>
  <si>
    <t>overhead</t>
  </si>
  <si>
    <t>sales staff (each)</t>
  </si>
  <si>
    <t>office equip</t>
  </si>
  <si>
    <t>Mktg Exp</t>
  </si>
  <si>
    <t>Sales</t>
  </si>
  <si>
    <t>Forecasted Cash Flow</t>
  </si>
  <si>
    <t>Variable Costs</t>
  </si>
  <si>
    <t>Fixed Costs</t>
  </si>
  <si>
    <t>Deprec - Equip</t>
  </si>
  <si>
    <t>EBIT</t>
  </si>
  <si>
    <t>Taxes</t>
  </si>
  <si>
    <t>EAT</t>
  </si>
  <si>
    <t>Non-Cash Exp</t>
  </si>
  <si>
    <t>Investment Outlay</t>
  </si>
  <si>
    <t>Cash Flow from Ops</t>
  </si>
  <si>
    <t>Depreciation</t>
  </si>
  <si>
    <t>Total Net Cash Flow</t>
  </si>
  <si>
    <t>Annual cost of coffee</t>
  </si>
  <si>
    <t>new workers each</t>
  </si>
  <si>
    <t>Payback Period</t>
  </si>
  <si>
    <t>NPV</t>
  </si>
  <si>
    <t>Profitability Index</t>
  </si>
  <si>
    <t>IRR</t>
  </si>
  <si>
    <t>Modified IRR</t>
  </si>
  <si>
    <t>Computations</t>
  </si>
  <si>
    <t>(8 workers)</t>
  </si>
  <si>
    <t>A/R</t>
  </si>
  <si>
    <t>Inv</t>
  </si>
  <si>
    <t>A/P</t>
  </si>
  <si>
    <t>COGS</t>
  </si>
  <si>
    <t>Net Working Cap</t>
  </si>
  <si>
    <t>Change in Working Cap</t>
  </si>
  <si>
    <t>PV Factors</t>
  </si>
  <si>
    <t>PV of Cash Flows</t>
  </si>
  <si>
    <t>Cumulative Cash Flow</t>
  </si>
  <si>
    <t>FV Factors</t>
  </si>
  <si>
    <t>Earnings Before Income Taxes</t>
  </si>
  <si>
    <t>Depreciation - Equipment</t>
  </si>
  <si>
    <t>Earnings After Taxes</t>
  </si>
  <si>
    <t>Non-Cash Expenses</t>
  </si>
  <si>
    <t>Cash Flow from Operations</t>
  </si>
  <si>
    <t>Change in Working Capital</t>
  </si>
  <si>
    <t>Colorado</t>
  </si>
  <si>
    <t>Texas</t>
  </si>
  <si>
    <t>New Line</t>
  </si>
  <si>
    <t>Replace</t>
  </si>
  <si>
    <t>Acquire</t>
  </si>
  <si>
    <t>Pollute</t>
  </si>
  <si>
    <t>MIRR</t>
  </si>
  <si>
    <t>MIN IRR</t>
  </si>
  <si>
    <t>Payback</t>
  </si>
  <si>
    <t>Cumulative NPV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</si>
</sst>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_);_(* \(#,##0.0000\);_(* &quot;-&quot;????_);_(@_)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73" fontId="0" fillId="0" borderId="0" xfId="15" applyNumberFormat="1" applyAlignment="1">
      <alignment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169" fontId="0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10" fontId="1" fillId="0" borderId="0" xfId="21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21" applyNumberFormat="1" applyFont="1" applyAlignment="1">
      <alignment horizontal="center"/>
    </xf>
    <xf numFmtId="2" fontId="4" fillId="0" borderId="0" xfId="0" applyNumberFormat="1" applyFont="1" applyAlignment="1">
      <alignment/>
    </xf>
    <xf numFmtId="169" fontId="0" fillId="0" borderId="0" xfId="17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4" fillId="0" borderId="0" xfId="17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82" fontId="0" fillId="0" borderId="0" xfId="17" applyNumberForma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3" fontId="6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D47" sqref="D47"/>
    </sheetView>
  </sheetViews>
  <sheetFormatPr defaultColWidth="9.140625" defaultRowHeight="12.75"/>
  <cols>
    <col min="2" max="2" width="10.8515625" style="0" customWidth="1"/>
    <col min="3" max="3" width="14.140625" style="0" customWidth="1"/>
    <col min="4" max="4" width="14.57421875" style="0" bestFit="1" customWidth="1"/>
    <col min="5" max="14" width="14.140625" style="0" bestFit="1" customWidth="1"/>
    <col min="15" max="15" width="11.421875" style="0" bestFit="1" customWidth="1"/>
  </cols>
  <sheetData>
    <row r="1" spans="4:14" ht="12.75"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3" spans="1:14" ht="12.75">
      <c r="A3" t="s">
        <v>0</v>
      </c>
      <c r="D3" s="1">
        <v>1319000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5" spans="1:14" ht="12.75">
      <c r="A5" t="s">
        <v>14</v>
      </c>
      <c r="D5">
        <v>7.53</v>
      </c>
      <c r="E5" s="2">
        <f>D5*1.03</f>
        <v>7.7559000000000005</v>
      </c>
      <c r="F5" s="2">
        <f>E5*1.03</f>
        <v>7.988577</v>
      </c>
      <c r="G5" s="2">
        <f aca="true" t="shared" si="0" ref="G5:N5">F5*1.03</f>
        <v>8.228234310000001</v>
      </c>
      <c r="H5" s="2">
        <f t="shared" si="0"/>
        <v>8.4750813393</v>
      </c>
      <c r="I5" s="2">
        <f t="shared" si="0"/>
        <v>8.729333779479001</v>
      </c>
      <c r="J5" s="2">
        <f t="shared" si="0"/>
        <v>8.991213792863372</v>
      </c>
      <c r="K5" s="2">
        <f t="shared" si="0"/>
        <v>9.260950206649273</v>
      </c>
      <c r="L5" s="2">
        <f t="shared" si="0"/>
        <v>9.538778712848751</v>
      </c>
      <c r="M5" s="2">
        <f t="shared" si="0"/>
        <v>9.824942074234214</v>
      </c>
      <c r="N5" s="2">
        <f t="shared" si="0"/>
        <v>10.11969033646124</v>
      </c>
    </row>
    <row r="7" spans="1:14" ht="12.75">
      <c r="A7" t="s">
        <v>12</v>
      </c>
      <c r="D7" s="5">
        <f>D5*500000</f>
        <v>3765000</v>
      </c>
      <c r="E7" s="1">
        <f aca="true" t="shared" si="1" ref="E7:N7">E5*500000</f>
        <v>3877950</v>
      </c>
      <c r="F7" s="1">
        <f t="shared" si="1"/>
        <v>3994288.5</v>
      </c>
      <c r="G7" s="1">
        <f t="shared" si="1"/>
        <v>4114117.1550000007</v>
      </c>
      <c r="H7" s="1">
        <f t="shared" si="1"/>
        <v>4237540.6696500005</v>
      </c>
      <c r="I7" s="1">
        <f t="shared" si="1"/>
        <v>4364666.8897395</v>
      </c>
      <c r="J7" s="1">
        <f t="shared" si="1"/>
        <v>4495606.896431685</v>
      </c>
      <c r="K7" s="1">
        <f t="shared" si="1"/>
        <v>4630475.103324637</v>
      </c>
      <c r="L7" s="1">
        <f t="shared" si="1"/>
        <v>4769389.356424375</v>
      </c>
      <c r="M7" s="1">
        <f t="shared" si="1"/>
        <v>4912471.037117107</v>
      </c>
      <c r="N7" s="1">
        <f t="shared" si="1"/>
        <v>5059845.16823062</v>
      </c>
    </row>
    <row r="8" spans="4:14" ht="12.75">
      <c r="D8" s="3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t="s">
        <v>15</v>
      </c>
      <c r="D9" s="3">
        <v>0.7</v>
      </c>
      <c r="E9" s="4">
        <f>+D9*1.07</f>
        <v>0.749</v>
      </c>
      <c r="F9" s="4">
        <f aca="true" t="shared" si="2" ref="F9:N9">+E9*1.07</f>
        <v>0.8014300000000001</v>
      </c>
      <c r="G9" s="4">
        <f t="shared" si="2"/>
        <v>0.8575301000000002</v>
      </c>
      <c r="H9" s="4">
        <f t="shared" si="2"/>
        <v>0.9175572070000002</v>
      </c>
      <c r="I9" s="4">
        <f t="shared" si="2"/>
        <v>0.9817862114900002</v>
      </c>
      <c r="J9" s="4">
        <f t="shared" si="2"/>
        <v>1.0505112462943003</v>
      </c>
      <c r="K9" s="4">
        <f t="shared" si="2"/>
        <v>1.1240470335349013</v>
      </c>
      <c r="L9" s="4">
        <f t="shared" si="2"/>
        <v>1.2027303258823445</v>
      </c>
      <c r="M9" s="4">
        <f t="shared" si="2"/>
        <v>1.2869214486941087</v>
      </c>
      <c r="N9" s="4">
        <f t="shared" si="2"/>
        <v>1.3770059501026963</v>
      </c>
    </row>
    <row r="10" spans="5:14" ht="12.75"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t="s">
        <v>33</v>
      </c>
      <c r="D11" s="5">
        <f>D9*500000</f>
        <v>350000</v>
      </c>
      <c r="E11" s="5">
        <f aca="true" t="shared" si="3" ref="E11:N11">E9*500000</f>
        <v>374500</v>
      </c>
      <c r="F11" s="5">
        <f t="shared" si="3"/>
        <v>400715.00000000006</v>
      </c>
      <c r="G11" s="5">
        <f t="shared" si="3"/>
        <v>428765.0500000001</v>
      </c>
      <c r="H11" s="5">
        <f t="shared" si="3"/>
        <v>458778.6035000001</v>
      </c>
      <c r="I11" s="5">
        <f t="shared" si="3"/>
        <v>490893.1057450001</v>
      </c>
      <c r="J11" s="5">
        <f t="shared" si="3"/>
        <v>525255.6231471502</v>
      </c>
      <c r="K11" s="5">
        <f t="shared" si="3"/>
        <v>562023.5167674506</v>
      </c>
      <c r="L11" s="5">
        <f t="shared" si="3"/>
        <v>601365.1629411723</v>
      </c>
      <c r="M11" s="5">
        <f t="shared" si="3"/>
        <v>643460.7243470544</v>
      </c>
      <c r="N11" s="5">
        <f t="shared" si="3"/>
        <v>688502.9750513482</v>
      </c>
    </row>
    <row r="12" spans="5:14" ht="12.75"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t="s">
        <v>34</v>
      </c>
      <c r="D13" s="1">
        <v>35000</v>
      </c>
      <c r="E13" s="1">
        <f>D13*1.05</f>
        <v>36750</v>
      </c>
      <c r="F13" s="1">
        <f aca="true" t="shared" si="4" ref="F13:N13">E13*1.05</f>
        <v>38587.5</v>
      </c>
      <c r="G13" s="1">
        <f t="shared" si="4"/>
        <v>40516.875</v>
      </c>
      <c r="H13" s="1">
        <f t="shared" si="4"/>
        <v>42542.71875</v>
      </c>
      <c r="I13" s="1">
        <f t="shared" si="4"/>
        <v>44669.8546875</v>
      </c>
      <c r="J13" s="1">
        <f t="shared" si="4"/>
        <v>46903.347421875005</v>
      </c>
      <c r="K13" s="1">
        <f t="shared" si="4"/>
        <v>49248.51479296876</v>
      </c>
      <c r="L13" s="1">
        <f t="shared" si="4"/>
        <v>51710.9405326172</v>
      </c>
      <c r="M13" s="1">
        <f t="shared" si="4"/>
        <v>54296.48755924806</v>
      </c>
      <c r="N13" s="1">
        <f t="shared" si="4"/>
        <v>57011.31193721046</v>
      </c>
    </row>
    <row r="15" spans="1:14" ht="12.75">
      <c r="A15" t="s">
        <v>13</v>
      </c>
      <c r="D15" s="19">
        <f>D13*10</f>
        <v>350000</v>
      </c>
      <c r="E15" s="6">
        <f aca="true" t="shared" si="5" ref="E15:N15">E13*10</f>
        <v>367500</v>
      </c>
      <c r="F15" s="6">
        <f t="shared" si="5"/>
        <v>385875</v>
      </c>
      <c r="G15" s="6">
        <f t="shared" si="5"/>
        <v>405168.75</v>
      </c>
      <c r="H15" s="6">
        <f t="shared" si="5"/>
        <v>425427.1875</v>
      </c>
      <c r="I15" s="6">
        <f t="shared" si="5"/>
        <v>446698.546875</v>
      </c>
      <c r="J15" s="6">
        <f t="shared" si="5"/>
        <v>469033.47421875</v>
      </c>
      <c r="K15" s="6">
        <f t="shared" si="5"/>
        <v>492485.1479296876</v>
      </c>
      <c r="L15" s="6">
        <f t="shared" si="5"/>
        <v>517109.405326172</v>
      </c>
      <c r="M15" s="6">
        <f t="shared" si="5"/>
        <v>542964.8755924806</v>
      </c>
      <c r="N15">
        <f t="shared" si="5"/>
        <v>570113.1193721046</v>
      </c>
    </row>
    <row r="16" ht="12.75">
      <c r="D16" s="20"/>
    </row>
    <row r="17" spans="1:14" ht="12.75">
      <c r="A17" t="s">
        <v>16</v>
      </c>
      <c r="D17" s="21">
        <v>1350000</v>
      </c>
      <c r="E17" s="5">
        <f>D17*1.01</f>
        <v>1363500</v>
      </c>
      <c r="F17" s="5">
        <f aca="true" t="shared" si="6" ref="F17:N17">E17*1.01</f>
        <v>1377135</v>
      </c>
      <c r="G17" s="5">
        <f t="shared" si="6"/>
        <v>1390906.35</v>
      </c>
      <c r="H17" s="5">
        <f t="shared" si="6"/>
        <v>1404815.4135</v>
      </c>
      <c r="I17" s="5">
        <f t="shared" si="6"/>
        <v>1418863.567635</v>
      </c>
      <c r="J17" s="5">
        <f t="shared" si="6"/>
        <v>1433052.20331135</v>
      </c>
      <c r="K17" s="5">
        <f t="shared" si="6"/>
        <v>1447382.7253444635</v>
      </c>
      <c r="L17" s="5">
        <f t="shared" si="6"/>
        <v>1461856.552597908</v>
      </c>
      <c r="M17" s="5">
        <f t="shared" si="6"/>
        <v>1476475.118123887</v>
      </c>
      <c r="N17" s="5">
        <f t="shared" si="6"/>
        <v>1491239.869305126</v>
      </c>
    </row>
    <row r="18" ht="12.75">
      <c r="D18" s="20"/>
    </row>
    <row r="19" spans="1:14" ht="12.75">
      <c r="A19" t="s">
        <v>17</v>
      </c>
      <c r="D19" s="21">
        <v>90000</v>
      </c>
      <c r="E19" s="5">
        <f>+D19*1.08</f>
        <v>97200</v>
      </c>
      <c r="F19" s="5">
        <f aca="true" t="shared" si="7" ref="F19:N19">+E19*1.08</f>
        <v>104976</v>
      </c>
      <c r="G19" s="5">
        <f t="shared" si="7"/>
        <v>113374.08</v>
      </c>
      <c r="H19" s="5">
        <f t="shared" si="7"/>
        <v>122444.00640000001</v>
      </c>
      <c r="I19" s="5">
        <f t="shared" si="7"/>
        <v>132239.52691200003</v>
      </c>
      <c r="J19" s="5">
        <f t="shared" si="7"/>
        <v>142818.68906496005</v>
      </c>
      <c r="K19" s="5">
        <f t="shared" si="7"/>
        <v>154244.18419015687</v>
      </c>
      <c r="L19" s="5">
        <f t="shared" si="7"/>
        <v>166583.71892536944</v>
      </c>
      <c r="M19" s="5">
        <f t="shared" si="7"/>
        <v>179910.416439399</v>
      </c>
      <c r="N19" s="5">
        <f t="shared" si="7"/>
        <v>194303.24975455095</v>
      </c>
    </row>
    <row r="21" spans="1:14" ht="12.75">
      <c r="A21" t="s">
        <v>41</v>
      </c>
      <c r="D21" s="5">
        <f>D19*8</f>
        <v>720000</v>
      </c>
      <c r="E21" s="5">
        <f>E19*8</f>
        <v>777600</v>
      </c>
      <c r="F21" s="5">
        <f aca="true" t="shared" si="8" ref="F21:N21">F19*8</f>
        <v>839808</v>
      </c>
      <c r="G21" s="5">
        <f t="shared" si="8"/>
        <v>906992.64</v>
      </c>
      <c r="H21" s="5">
        <f t="shared" si="8"/>
        <v>979552.0512000001</v>
      </c>
      <c r="I21" s="5">
        <f t="shared" si="8"/>
        <v>1057916.2152960002</v>
      </c>
      <c r="J21" s="5">
        <f t="shared" si="8"/>
        <v>1142549.5125196804</v>
      </c>
      <c r="K21" s="5">
        <f t="shared" si="8"/>
        <v>1233953.473521255</v>
      </c>
      <c r="L21" s="5">
        <f t="shared" si="8"/>
        <v>1332669.7514029555</v>
      </c>
      <c r="M21" s="5">
        <f t="shared" si="8"/>
        <v>1439283.331515192</v>
      </c>
      <c r="N21" s="5">
        <f t="shared" si="8"/>
        <v>1554425.9980364076</v>
      </c>
    </row>
    <row r="23" spans="1:14" ht="12.75">
      <c r="A23" t="s">
        <v>18</v>
      </c>
      <c r="D23" s="19">
        <v>30000</v>
      </c>
      <c r="E23" s="6">
        <v>30000</v>
      </c>
      <c r="F23" s="6">
        <v>30000</v>
      </c>
      <c r="G23" s="6">
        <v>30000</v>
      </c>
      <c r="H23" s="6">
        <v>30000</v>
      </c>
      <c r="I23" s="6">
        <v>30000</v>
      </c>
      <c r="J23" s="6">
        <v>30000</v>
      </c>
      <c r="K23" s="6">
        <v>30000</v>
      </c>
      <c r="L23" s="6">
        <v>30000</v>
      </c>
      <c r="M23" s="6">
        <v>30000</v>
      </c>
      <c r="N23" s="6">
        <v>30000</v>
      </c>
    </row>
    <row r="24" ht="12.75">
      <c r="D24" s="20"/>
    </row>
    <row r="25" spans="1:14" ht="12.75">
      <c r="A25" t="s">
        <v>19</v>
      </c>
      <c r="D25" s="19">
        <v>350000</v>
      </c>
      <c r="E25" s="6">
        <f>E7*0.07</f>
        <v>271456.5</v>
      </c>
      <c r="F25" s="6">
        <f aca="true" t="shared" si="9" ref="F25:N25">F7*0.07</f>
        <v>279600.195</v>
      </c>
      <c r="G25" s="6">
        <f t="shared" si="9"/>
        <v>287988.2008500001</v>
      </c>
      <c r="H25" s="6">
        <f t="shared" si="9"/>
        <v>296627.84687550005</v>
      </c>
      <c r="I25" s="6">
        <f t="shared" si="9"/>
        <v>305526.68228176504</v>
      </c>
      <c r="J25" s="6">
        <f t="shared" si="9"/>
        <v>314692.482750218</v>
      </c>
      <c r="K25" s="6">
        <f t="shared" si="9"/>
        <v>324133.25723272463</v>
      </c>
      <c r="L25" s="6">
        <f t="shared" si="9"/>
        <v>333857.2549497063</v>
      </c>
      <c r="M25" s="6">
        <f t="shared" si="9"/>
        <v>343872.9725981975</v>
      </c>
      <c r="N25" s="6">
        <f t="shared" si="9"/>
        <v>354189.1617761435</v>
      </c>
    </row>
    <row r="27" spans="1:15" ht="12.75">
      <c r="A27" t="s">
        <v>31</v>
      </c>
      <c r="D27" s="6">
        <f>+D3*0.1429</f>
        <v>188485.1</v>
      </c>
      <c r="E27" s="6">
        <f>+D3*0.2449</f>
        <v>323023.10000000003</v>
      </c>
      <c r="F27" s="6">
        <f>+D3*0.1749</f>
        <v>230693.1</v>
      </c>
      <c r="G27" s="6">
        <f>+D3*0.1249</f>
        <v>164743.1</v>
      </c>
      <c r="H27" s="6">
        <f>+D3*0.0893</f>
        <v>117786.70000000001</v>
      </c>
      <c r="I27" s="6">
        <f>+D3*0.0892</f>
        <v>117654.8</v>
      </c>
      <c r="J27" s="6">
        <f>+D3*0.0893</f>
        <v>117786.70000000001</v>
      </c>
      <c r="K27" s="6">
        <f>+D3*0.0446</f>
        <v>58827.4</v>
      </c>
      <c r="L27" s="6"/>
      <c r="M27" s="6">
        <f>L27*1</f>
        <v>0</v>
      </c>
      <c r="O27" s="8">
        <f>SUM(D27:N27)</f>
        <v>1319000</v>
      </c>
    </row>
    <row r="29" spans="1:14" ht="12.75">
      <c r="A29" t="s">
        <v>45</v>
      </c>
      <c r="D29" s="22">
        <f>+D11+D15+D17</f>
        <v>2050000</v>
      </c>
      <c r="E29" s="8">
        <f>+E11+E15+E17</f>
        <v>2105500</v>
      </c>
      <c r="F29" s="8">
        <f aca="true" t="shared" si="10" ref="F29:N29">+F11+F15+F17</f>
        <v>2163725</v>
      </c>
      <c r="G29" s="8">
        <f t="shared" si="10"/>
        <v>2224840.1500000004</v>
      </c>
      <c r="H29" s="8">
        <f t="shared" si="10"/>
        <v>2289021.2045</v>
      </c>
      <c r="I29" s="8">
        <f t="shared" si="10"/>
        <v>2356455.220255</v>
      </c>
      <c r="J29" s="8">
        <f t="shared" si="10"/>
        <v>2427341.30067725</v>
      </c>
      <c r="K29" s="8">
        <f t="shared" si="10"/>
        <v>2501891.390041602</v>
      </c>
      <c r="L29" s="8">
        <f t="shared" si="10"/>
        <v>2580331.1208652523</v>
      </c>
      <c r="M29" s="8">
        <f t="shared" si="10"/>
        <v>2662900.718063422</v>
      </c>
      <c r="N29" s="8">
        <f t="shared" si="10"/>
        <v>2749855.9637285788</v>
      </c>
    </row>
    <row r="30" ht="12.75">
      <c r="A30" s="7" t="s">
        <v>21</v>
      </c>
    </row>
    <row r="31" spans="1:14" ht="12.75">
      <c r="A31" t="s">
        <v>20</v>
      </c>
      <c r="D31" s="5">
        <v>3765000</v>
      </c>
      <c r="E31" s="1">
        <v>3877950</v>
      </c>
      <c r="F31" s="1">
        <v>3994288.5</v>
      </c>
      <c r="G31" s="1">
        <v>4114117.1550000007</v>
      </c>
      <c r="H31" s="1">
        <v>4237540.6696500005</v>
      </c>
      <c r="I31" s="1">
        <v>4364666.8897395</v>
      </c>
      <c r="J31" s="1">
        <v>4495606.896431685</v>
      </c>
      <c r="K31" s="1">
        <v>4630475.103324637</v>
      </c>
      <c r="L31" s="1">
        <v>4769389.356424375</v>
      </c>
      <c r="M31" s="1">
        <v>4912471.037117107</v>
      </c>
      <c r="N31" s="1">
        <v>5059845.16823062</v>
      </c>
    </row>
    <row r="32" spans="1:14" ht="12.75">
      <c r="A32" t="s">
        <v>22</v>
      </c>
      <c r="D32" s="5">
        <f>D11+D15+D17+D21+D25</f>
        <v>3120000</v>
      </c>
      <c r="E32" s="5">
        <f aca="true" t="shared" si="11" ref="E32:N32">E11+E15+E17+E21+E25</f>
        <v>3154556.5</v>
      </c>
      <c r="F32" s="5">
        <f t="shared" si="11"/>
        <v>3283133.195</v>
      </c>
      <c r="G32" s="5">
        <f t="shared" si="11"/>
        <v>3419820.9908500006</v>
      </c>
      <c r="H32" s="5">
        <f t="shared" si="11"/>
        <v>3565201.1025755</v>
      </c>
      <c r="I32" s="5">
        <f t="shared" si="11"/>
        <v>3719898.1178327654</v>
      </c>
      <c r="J32" s="5">
        <f t="shared" si="11"/>
        <v>3884583.2959471485</v>
      </c>
      <c r="K32" s="5">
        <f t="shared" si="11"/>
        <v>4059978.1207955815</v>
      </c>
      <c r="L32" s="5">
        <f t="shared" si="11"/>
        <v>4246858.127217914</v>
      </c>
      <c r="M32" s="5">
        <f t="shared" si="11"/>
        <v>4446057.0221768115</v>
      </c>
      <c r="N32" s="5">
        <f t="shared" si="11"/>
        <v>4658471.12354113</v>
      </c>
    </row>
    <row r="33" spans="1:13" ht="12.75">
      <c r="A33" t="s">
        <v>23</v>
      </c>
      <c r="D33" s="6">
        <v>30000</v>
      </c>
      <c r="E33" s="6">
        <v>30000</v>
      </c>
      <c r="F33" s="6">
        <v>30000</v>
      </c>
      <c r="G33" s="6">
        <v>30000</v>
      </c>
      <c r="H33" s="6">
        <v>30000</v>
      </c>
      <c r="I33" s="6">
        <v>30000</v>
      </c>
      <c r="J33" s="6">
        <v>30000</v>
      </c>
      <c r="K33" s="6">
        <v>30000</v>
      </c>
      <c r="L33" s="6">
        <v>30000</v>
      </c>
      <c r="M33" s="6">
        <v>30000</v>
      </c>
    </row>
    <row r="34" spans="1:14" ht="12.75">
      <c r="A34" t="s">
        <v>24</v>
      </c>
      <c r="D34" s="8">
        <f>+D27</f>
        <v>188485.1</v>
      </c>
      <c r="E34" s="8">
        <f aca="true" t="shared" si="12" ref="E34:N34">+E27</f>
        <v>323023.10000000003</v>
      </c>
      <c r="F34" s="8">
        <f t="shared" si="12"/>
        <v>230693.1</v>
      </c>
      <c r="G34" s="8">
        <f t="shared" si="12"/>
        <v>164743.1</v>
      </c>
      <c r="H34" s="8">
        <f t="shared" si="12"/>
        <v>117786.70000000001</v>
      </c>
      <c r="I34" s="8">
        <f t="shared" si="12"/>
        <v>117654.8</v>
      </c>
      <c r="J34" s="8">
        <f t="shared" si="12"/>
        <v>117786.70000000001</v>
      </c>
      <c r="K34" s="8">
        <f t="shared" si="12"/>
        <v>58827.4</v>
      </c>
      <c r="L34" s="8">
        <f t="shared" si="12"/>
        <v>0</v>
      </c>
      <c r="M34" s="8">
        <f t="shared" si="12"/>
        <v>0</v>
      </c>
      <c r="N34" s="8">
        <f t="shared" si="12"/>
        <v>0</v>
      </c>
    </row>
    <row r="35" spans="1:14" ht="12.75">
      <c r="A35" t="s">
        <v>25</v>
      </c>
      <c r="D35" s="5">
        <f aca="true" t="shared" si="13" ref="D35:N35">D31-D32-D33-D34</f>
        <v>426514.9</v>
      </c>
      <c r="E35" s="5">
        <f t="shared" si="13"/>
        <v>370370.39999999997</v>
      </c>
      <c r="F35" s="5">
        <f t="shared" si="13"/>
        <v>450462.2050000002</v>
      </c>
      <c r="G35" s="5">
        <f t="shared" si="13"/>
        <v>499553.0641500001</v>
      </c>
      <c r="H35" s="5">
        <f t="shared" si="13"/>
        <v>524552.8670745005</v>
      </c>
      <c r="I35" s="5">
        <f t="shared" si="13"/>
        <v>497113.9719067349</v>
      </c>
      <c r="J35" s="5">
        <f t="shared" si="13"/>
        <v>463236.90048453695</v>
      </c>
      <c r="K35" s="5">
        <f t="shared" si="13"/>
        <v>481669.5825290553</v>
      </c>
      <c r="L35" s="5">
        <f t="shared" si="13"/>
        <v>492531.22920646146</v>
      </c>
      <c r="M35" s="5">
        <f t="shared" si="13"/>
        <v>436414.01494029537</v>
      </c>
      <c r="N35" s="5">
        <f t="shared" si="13"/>
        <v>401374.04468949046</v>
      </c>
    </row>
    <row r="36" spans="1:14" ht="12.75">
      <c r="A36" t="s">
        <v>26</v>
      </c>
      <c r="D36" s="5">
        <f>D35*0.4</f>
        <v>170605.96000000002</v>
      </c>
      <c r="E36" s="5">
        <f aca="true" t="shared" si="14" ref="E36:N36">E35*0.4</f>
        <v>148148.16</v>
      </c>
      <c r="F36" s="5">
        <f t="shared" si="14"/>
        <v>180184.8820000001</v>
      </c>
      <c r="G36" s="5">
        <f t="shared" si="14"/>
        <v>199821.22566000005</v>
      </c>
      <c r="H36" s="5">
        <f t="shared" si="14"/>
        <v>209821.14682980021</v>
      </c>
      <c r="I36" s="5">
        <f t="shared" si="14"/>
        <v>198845.58876269398</v>
      </c>
      <c r="J36" s="5">
        <f t="shared" si="14"/>
        <v>185294.7601938148</v>
      </c>
      <c r="K36" s="5">
        <f t="shared" si="14"/>
        <v>192667.83301162213</v>
      </c>
      <c r="L36" s="5">
        <f t="shared" si="14"/>
        <v>197012.4916825846</v>
      </c>
      <c r="M36" s="5">
        <f t="shared" si="14"/>
        <v>174565.60597611815</v>
      </c>
      <c r="N36" s="5">
        <f t="shared" si="14"/>
        <v>160549.6178757962</v>
      </c>
    </row>
    <row r="37" spans="1:14" ht="12.75">
      <c r="A37" t="s">
        <v>27</v>
      </c>
      <c r="D37" s="5">
        <f>D35-D36</f>
        <v>255908.94</v>
      </c>
      <c r="E37" s="5">
        <f aca="true" t="shared" si="15" ref="E37:N37">E35-E36</f>
        <v>222222.23999999996</v>
      </c>
      <c r="F37" s="5">
        <f t="shared" si="15"/>
        <v>270277.3230000001</v>
      </c>
      <c r="G37" s="5">
        <f t="shared" si="15"/>
        <v>299731.83849000005</v>
      </c>
      <c r="H37" s="5">
        <f t="shared" si="15"/>
        <v>314731.7202447003</v>
      </c>
      <c r="I37" s="5">
        <f t="shared" si="15"/>
        <v>298268.38314404094</v>
      </c>
      <c r="J37" s="5">
        <f t="shared" si="15"/>
        <v>277942.14029072213</v>
      </c>
      <c r="K37" s="5">
        <f t="shared" si="15"/>
        <v>289001.74951743317</v>
      </c>
      <c r="L37" s="5">
        <f t="shared" si="15"/>
        <v>295518.7375238768</v>
      </c>
      <c r="M37" s="5">
        <f t="shared" si="15"/>
        <v>261848.40896417722</v>
      </c>
      <c r="N37" s="5">
        <f t="shared" si="15"/>
        <v>240824.42681369427</v>
      </c>
    </row>
    <row r="38" spans="1:14" ht="12.75">
      <c r="A38" t="s">
        <v>28</v>
      </c>
      <c r="D38" s="8">
        <f>+D34</f>
        <v>188485.1</v>
      </c>
      <c r="E38" s="8">
        <f aca="true" t="shared" si="16" ref="E38:N38">+E34</f>
        <v>323023.10000000003</v>
      </c>
      <c r="F38" s="8">
        <f t="shared" si="16"/>
        <v>230693.1</v>
      </c>
      <c r="G38" s="8">
        <f t="shared" si="16"/>
        <v>164743.1</v>
      </c>
      <c r="H38" s="8">
        <f t="shared" si="16"/>
        <v>117786.70000000001</v>
      </c>
      <c r="I38" s="8">
        <f t="shared" si="16"/>
        <v>117654.8</v>
      </c>
      <c r="J38" s="8">
        <f t="shared" si="16"/>
        <v>117786.70000000001</v>
      </c>
      <c r="K38" s="8">
        <f t="shared" si="16"/>
        <v>58827.4</v>
      </c>
      <c r="L38" s="8">
        <f t="shared" si="16"/>
        <v>0</v>
      </c>
      <c r="M38" s="8">
        <f t="shared" si="16"/>
        <v>0</v>
      </c>
      <c r="N38" s="8">
        <f t="shared" si="16"/>
        <v>0</v>
      </c>
    </row>
    <row r="39" spans="1:14" ht="12.75">
      <c r="A39" t="s">
        <v>30</v>
      </c>
      <c r="D39" s="5">
        <f>+D38+D37</f>
        <v>444394.04000000004</v>
      </c>
      <c r="E39" s="5">
        <f aca="true" t="shared" si="17" ref="E39:N39">+E38+E37</f>
        <v>545245.34</v>
      </c>
      <c r="F39" s="5">
        <f t="shared" si="17"/>
        <v>500970.42300000007</v>
      </c>
      <c r="G39" s="5">
        <f t="shared" si="17"/>
        <v>464474.9384900001</v>
      </c>
      <c r="H39" s="5">
        <f t="shared" si="17"/>
        <v>432518.42024470033</v>
      </c>
      <c r="I39" s="5">
        <f t="shared" si="17"/>
        <v>415923.18314404093</v>
      </c>
      <c r="J39" s="5">
        <f t="shared" si="17"/>
        <v>395728.84029072215</v>
      </c>
      <c r="K39" s="5">
        <f t="shared" si="17"/>
        <v>347829.1495174332</v>
      </c>
      <c r="L39" s="5">
        <f t="shared" si="17"/>
        <v>295518.7375238768</v>
      </c>
      <c r="M39" s="5">
        <f t="shared" si="17"/>
        <v>261848.40896417722</v>
      </c>
      <c r="N39" s="5">
        <f t="shared" si="17"/>
        <v>240824.42681369427</v>
      </c>
    </row>
    <row r="40" spans="1:4" ht="12.75">
      <c r="A40" t="s">
        <v>29</v>
      </c>
      <c r="C40">
        <v>-1319000</v>
      </c>
      <c r="D40" s="1"/>
    </row>
    <row r="41" spans="1:14" ht="12.75">
      <c r="A41" t="s">
        <v>47</v>
      </c>
      <c r="D41" s="8">
        <f>-D59</f>
        <v>-677712.3287671234</v>
      </c>
      <c r="E41" s="8">
        <f>-E59+D59</f>
        <v>-19887.534246575204</v>
      </c>
      <c r="F41" s="8">
        <f aca="true" t="shared" si="18" ref="F41:N41">-F59+E59</f>
        <v>-20562.571232876624</v>
      </c>
      <c r="G41" s="8">
        <f t="shared" si="18"/>
        <v>-21264.028643835918</v>
      </c>
      <c r="H41" s="8">
        <f t="shared" si="18"/>
        <v>-21993.117037397227</v>
      </c>
      <c r="I41" s="8">
        <f t="shared" si="18"/>
        <v>-22751.111369724385</v>
      </c>
      <c r="J41" s="8">
        <f t="shared" si="18"/>
        <v>-23539.35482932115</v>
      </c>
      <c r="K41" s="8">
        <f t="shared" si="18"/>
        <v>-24359.26291610417</v>
      </c>
      <c r="L41" s="8">
        <f t="shared" si="18"/>
        <v>-25212.32778171322</v>
      </c>
      <c r="M41" s="8">
        <f t="shared" si="18"/>
        <v>-26100.12284843775</v>
      </c>
      <c r="N41" s="8">
        <f t="shared" si="18"/>
        <v>-27024.307725338265</v>
      </c>
    </row>
    <row r="42" spans="1:14" ht="12.75">
      <c r="A42" t="s">
        <v>32</v>
      </c>
      <c r="C42" s="6">
        <f>SUM(C39:C41)</f>
        <v>-1319000</v>
      </c>
      <c r="D42" s="6">
        <f aca="true" t="shared" si="19" ref="D42:N42">SUM(D39:D41)</f>
        <v>-233318.28876712336</v>
      </c>
      <c r="E42" s="6">
        <f t="shared" si="19"/>
        <v>525357.8057534248</v>
      </c>
      <c r="F42" s="6">
        <f t="shared" si="19"/>
        <v>480407.85176712344</v>
      </c>
      <c r="G42" s="6">
        <f t="shared" si="19"/>
        <v>443210.90984616417</v>
      </c>
      <c r="H42" s="6">
        <f t="shared" si="19"/>
        <v>410525.3032073031</v>
      </c>
      <c r="I42" s="6">
        <f t="shared" si="19"/>
        <v>393172.07177431654</v>
      </c>
      <c r="J42" s="6">
        <f t="shared" si="19"/>
        <v>372189.485461401</v>
      </c>
      <c r="K42" s="6">
        <f t="shared" si="19"/>
        <v>323469.886601329</v>
      </c>
      <c r="L42" s="6">
        <f t="shared" si="19"/>
        <v>270306.4097421636</v>
      </c>
      <c r="M42" s="6">
        <f t="shared" si="19"/>
        <v>235748.28611573947</v>
      </c>
      <c r="N42" s="6">
        <f t="shared" si="19"/>
        <v>213800.119088356</v>
      </c>
    </row>
    <row r="43" spans="1:15" ht="12.75">
      <c r="A43" t="s">
        <v>48</v>
      </c>
      <c r="C43" s="10">
        <v>1</v>
      </c>
      <c r="D43" s="10">
        <v>0.9091</v>
      </c>
      <c r="E43" s="10">
        <v>0.8264</v>
      </c>
      <c r="F43" s="10">
        <v>0.7513</v>
      </c>
      <c r="G43" s="10">
        <v>0.683</v>
      </c>
      <c r="H43" s="10">
        <v>0.6209</v>
      </c>
      <c r="I43" s="10">
        <v>0.5645</v>
      </c>
      <c r="J43" s="10">
        <v>0.5132</v>
      </c>
      <c r="K43" s="10">
        <v>0.4665</v>
      </c>
      <c r="L43" s="10">
        <v>0.441</v>
      </c>
      <c r="M43" s="10">
        <v>0.3855</v>
      </c>
      <c r="N43" s="10"/>
      <c r="O43" s="10"/>
    </row>
    <row r="44" spans="1:15" ht="12.75">
      <c r="A44" t="s">
        <v>49</v>
      </c>
      <c r="C44" s="6">
        <f>+C42*C43</f>
        <v>-1319000</v>
      </c>
      <c r="D44" s="6">
        <f aca="true" t="shared" si="20" ref="D44:N44">+D42*D43</f>
        <v>-212109.65631819185</v>
      </c>
      <c r="E44" s="6">
        <f t="shared" si="20"/>
        <v>434155.6906746302</v>
      </c>
      <c r="F44" s="6">
        <f t="shared" si="20"/>
        <v>360930.4190326398</v>
      </c>
      <c r="G44" s="6">
        <f t="shared" si="20"/>
        <v>302713.05142493016</v>
      </c>
      <c r="H44" s="6">
        <f t="shared" si="20"/>
        <v>254895.1607614145</v>
      </c>
      <c r="I44" s="6">
        <f t="shared" si="20"/>
        <v>221945.63451660168</v>
      </c>
      <c r="J44" s="6">
        <f t="shared" si="20"/>
        <v>191007.64393879098</v>
      </c>
      <c r="K44" s="6">
        <f t="shared" si="20"/>
        <v>150898.70209952</v>
      </c>
      <c r="L44" s="6">
        <f t="shared" si="20"/>
        <v>119205.12669629416</v>
      </c>
      <c r="M44" s="6">
        <f t="shared" si="20"/>
        <v>90880.96429761757</v>
      </c>
      <c r="N44" s="6">
        <f t="shared" si="20"/>
        <v>0</v>
      </c>
      <c r="O44" s="8">
        <f>SUM(C44:N44)</f>
        <v>595522.7371242472</v>
      </c>
    </row>
    <row r="45" spans="3:15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8"/>
    </row>
    <row r="46" spans="1:15" ht="12.75">
      <c r="A46" t="s">
        <v>50</v>
      </c>
      <c r="C46" s="6">
        <f>+C42</f>
        <v>-1319000</v>
      </c>
      <c r="D46" s="6">
        <f>+C46+D42</f>
        <v>-1552318.2887671234</v>
      </c>
      <c r="E46" s="6">
        <f>+D46+E42</f>
        <v>-1026960.4830136986</v>
      </c>
      <c r="F46" s="6">
        <f aca="true" t="shared" si="21" ref="F46:N46">+E46+F42</f>
        <v>-546552.6312465752</v>
      </c>
      <c r="G46" s="6">
        <f t="shared" si="21"/>
        <v>-103341.72140041098</v>
      </c>
      <c r="H46" s="6">
        <f t="shared" si="21"/>
        <v>307183.5818068921</v>
      </c>
      <c r="I46" s="6">
        <f t="shared" si="21"/>
        <v>700355.6535812087</v>
      </c>
      <c r="J46" s="6">
        <f t="shared" si="21"/>
        <v>1072545.1390426096</v>
      </c>
      <c r="K46" s="6">
        <f t="shared" si="21"/>
        <v>1396015.0256439387</v>
      </c>
      <c r="L46" s="6">
        <f t="shared" si="21"/>
        <v>1666321.4353861022</v>
      </c>
      <c r="M46" s="6">
        <f t="shared" si="21"/>
        <v>1902069.7215018417</v>
      </c>
      <c r="N46" s="6">
        <f t="shared" si="21"/>
        <v>2115869.8405901976</v>
      </c>
      <c r="O46" s="8"/>
    </row>
    <row r="47" spans="3:14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ht="12.75">
      <c r="A48" s="7" t="s">
        <v>40</v>
      </c>
    </row>
    <row r="49" spans="1:14" ht="12.75">
      <c r="A49" t="s">
        <v>35</v>
      </c>
      <c r="D49" s="18">
        <f>(D15+D17+D19+D23+D25+D29)/D46</f>
        <v>-2.718514643895353</v>
      </c>
      <c r="E49" s="18">
        <f aca="true" t="shared" si="22" ref="E49:N49">(E15+E17+E19+E23+E25+E29)/E46</f>
        <v>-4.123972217092123</v>
      </c>
      <c r="F49" s="18">
        <f t="shared" si="22"/>
        <v>-7.94307985508798</v>
      </c>
      <c r="G49" s="18">
        <f t="shared" si="22"/>
        <v>-43.083059489584755</v>
      </c>
      <c r="H49" s="18">
        <f t="shared" si="22"/>
        <v>14.871679117431928</v>
      </c>
      <c r="I49" s="18">
        <f t="shared" si="22"/>
        <v>6.696288549935962</v>
      </c>
      <c r="J49" s="18">
        <f t="shared" si="22"/>
        <v>4.491128601190894</v>
      </c>
      <c r="K49" s="18">
        <f t="shared" si="22"/>
        <v>3.545905032401273</v>
      </c>
      <c r="L49" s="18">
        <f t="shared" si="22"/>
        <v>3.0544755318982433</v>
      </c>
      <c r="M49" s="18">
        <f t="shared" si="22"/>
        <v>2.7528560292117117</v>
      </c>
      <c r="N49" s="18">
        <f t="shared" si="22"/>
        <v>2.547274534823517</v>
      </c>
    </row>
    <row r="50" spans="1:14" ht="12.75">
      <c r="A50" t="s">
        <v>36</v>
      </c>
      <c r="C50" s="23">
        <f>SUM(D50:N50)</f>
        <v>595522.7371242472</v>
      </c>
      <c r="D50" s="24">
        <f>C42*C43</f>
        <v>-1319000</v>
      </c>
      <c r="E50" s="24">
        <f>D42*D43</f>
        <v>-212109.65631819185</v>
      </c>
      <c r="F50" s="24">
        <f>E42*E43</f>
        <v>434155.6906746302</v>
      </c>
      <c r="G50" s="24">
        <f aca="true" t="shared" si="23" ref="G50:N50">F43*F42</f>
        <v>360930.4190326398</v>
      </c>
      <c r="H50" s="24">
        <f t="shared" si="23"/>
        <v>302713.05142493016</v>
      </c>
      <c r="I50" s="24">
        <f t="shared" si="23"/>
        <v>254895.1607614145</v>
      </c>
      <c r="J50" s="24">
        <f t="shared" si="23"/>
        <v>221945.63451660168</v>
      </c>
      <c r="K50" s="24">
        <f t="shared" si="23"/>
        <v>191007.64393879098</v>
      </c>
      <c r="L50" s="24">
        <f t="shared" si="23"/>
        <v>150898.70209952</v>
      </c>
      <c r="M50" s="24">
        <f t="shared" si="23"/>
        <v>119205.12669629416</v>
      </c>
      <c r="N50" s="24">
        <f t="shared" si="23"/>
        <v>90880.96429761757</v>
      </c>
    </row>
    <row r="51" spans="1:14" ht="12.75">
      <c r="A51" t="s">
        <v>37</v>
      </c>
      <c r="C51" s="11">
        <f>+C44/-$C$40</f>
        <v>-1</v>
      </c>
      <c r="D51" s="11">
        <f aca="true" t="shared" si="24" ref="D51:N51">+D44/-$C$40</f>
        <v>-0.16081096005928117</v>
      </c>
      <c r="E51" s="11">
        <f t="shared" si="24"/>
        <v>0.32915518625824886</v>
      </c>
      <c r="F51" s="11">
        <f t="shared" si="24"/>
        <v>0.2736394382355116</v>
      </c>
      <c r="G51" s="11">
        <f t="shared" si="24"/>
        <v>0.22950193436310096</v>
      </c>
      <c r="H51" s="11">
        <f t="shared" si="24"/>
        <v>0.19324879511858567</v>
      </c>
      <c r="I51" s="11">
        <f t="shared" si="24"/>
        <v>0.16826810804897777</v>
      </c>
      <c r="J51" s="11">
        <f t="shared" si="24"/>
        <v>0.1448124669740644</v>
      </c>
      <c r="K51" s="11">
        <f t="shared" si="24"/>
        <v>0.1144038681573313</v>
      </c>
      <c r="L51" s="11">
        <f t="shared" si="24"/>
        <v>0.09037538036110247</v>
      </c>
      <c r="M51" s="11">
        <f t="shared" si="24"/>
        <v>0.06890141341745078</v>
      </c>
      <c r="N51" s="11">
        <f t="shared" si="24"/>
        <v>0</v>
      </c>
    </row>
    <row r="52" spans="1:3" ht="12.75">
      <c r="A52" t="s">
        <v>38</v>
      </c>
      <c r="C52" s="12">
        <f>IRR(C42:N42)</f>
        <v>0.18866704219621275</v>
      </c>
    </row>
    <row r="53" spans="1:3" ht="12.75">
      <c r="A53" t="s">
        <v>39</v>
      </c>
      <c r="C53" s="12">
        <f>MIRR(C42:N42,0.1,0.1)</f>
        <v>0.13671089447530238</v>
      </c>
    </row>
    <row r="56" spans="1:14" ht="12.75">
      <c r="A56" t="s">
        <v>42</v>
      </c>
      <c r="B56">
        <v>51</v>
      </c>
      <c r="D56" s="6">
        <f aca="true" t="shared" si="25" ref="D56:N56">+D31/365*$B56</f>
        <v>526068.493150685</v>
      </c>
      <c r="E56" s="6">
        <f t="shared" si="25"/>
        <v>541850.5479452055</v>
      </c>
      <c r="F56" s="6">
        <f t="shared" si="25"/>
        <v>558106.0643835616</v>
      </c>
      <c r="G56" s="6">
        <f t="shared" si="25"/>
        <v>574849.2463150686</v>
      </c>
      <c r="H56" s="6">
        <f t="shared" si="25"/>
        <v>592094.7237045206</v>
      </c>
      <c r="I56" s="6">
        <f t="shared" si="25"/>
        <v>609857.5654156562</v>
      </c>
      <c r="J56" s="6">
        <f t="shared" si="25"/>
        <v>628153.2923781258</v>
      </c>
      <c r="K56" s="6">
        <f t="shared" si="25"/>
        <v>646997.8911494699</v>
      </c>
      <c r="L56" s="6">
        <f t="shared" si="25"/>
        <v>666407.8278839539</v>
      </c>
      <c r="M56" s="6">
        <f t="shared" si="25"/>
        <v>686400.0627204725</v>
      </c>
      <c r="N56" s="6">
        <f t="shared" si="25"/>
        <v>706992.0646020867</v>
      </c>
    </row>
    <row r="57" spans="1:14" ht="12.75">
      <c r="A57" t="s">
        <v>43</v>
      </c>
      <c r="B57">
        <v>70</v>
      </c>
      <c r="D57" s="6">
        <f aca="true" t="shared" si="26" ref="D57:N57">+D29/365*$B57</f>
        <v>393150.68493150687</v>
      </c>
      <c r="E57" s="6">
        <f t="shared" si="26"/>
        <v>403794.5205479452</v>
      </c>
      <c r="F57" s="6">
        <f t="shared" si="26"/>
        <v>414960.95890410955</v>
      </c>
      <c r="G57" s="6">
        <f t="shared" si="26"/>
        <v>426681.6726027398</v>
      </c>
      <c r="H57" s="6">
        <f t="shared" si="26"/>
        <v>438990.36798630137</v>
      </c>
      <c r="I57" s="6">
        <f t="shared" si="26"/>
        <v>451922.9189530137</v>
      </c>
      <c r="J57" s="6">
        <f t="shared" si="26"/>
        <v>465517.5097189247</v>
      </c>
      <c r="K57" s="6">
        <f t="shared" si="26"/>
        <v>479814.7871312661</v>
      </c>
      <c r="L57" s="6">
        <f t="shared" si="26"/>
        <v>494858.0231796374</v>
      </c>
      <c r="M57" s="6">
        <f t="shared" si="26"/>
        <v>510693.2883957248</v>
      </c>
      <c r="N57" s="6">
        <f t="shared" si="26"/>
        <v>527369.6368794534</v>
      </c>
    </row>
    <row r="58" spans="1:14" ht="12.75">
      <c r="A58" t="s">
        <v>44</v>
      </c>
      <c r="B58">
        <v>43</v>
      </c>
      <c r="D58" s="6">
        <f aca="true" t="shared" si="27" ref="D58:N58">+D29/365*$B58</f>
        <v>241506.84931506848</v>
      </c>
      <c r="E58" s="6">
        <f t="shared" si="27"/>
        <v>248045.20547945207</v>
      </c>
      <c r="F58" s="6">
        <f t="shared" si="27"/>
        <v>254904.58904109587</v>
      </c>
      <c r="G58" s="6">
        <f t="shared" si="27"/>
        <v>262104.4560273973</v>
      </c>
      <c r="H58" s="6">
        <f t="shared" si="27"/>
        <v>269665.51176301367</v>
      </c>
      <c r="I58" s="6">
        <f t="shared" si="27"/>
        <v>277609.793071137</v>
      </c>
      <c r="J58" s="6">
        <f t="shared" si="27"/>
        <v>285960.7559701966</v>
      </c>
      <c r="K58" s="6">
        <f t="shared" si="27"/>
        <v>294743.3692377778</v>
      </c>
      <c r="L58" s="6">
        <f t="shared" si="27"/>
        <v>303984.21423892013</v>
      </c>
      <c r="M58" s="6">
        <f t="shared" si="27"/>
        <v>313711.5914430881</v>
      </c>
      <c r="N58" s="6">
        <f t="shared" si="27"/>
        <v>323955.63408309285</v>
      </c>
    </row>
    <row r="59" spans="1:14" ht="12.75">
      <c r="A59" t="s">
        <v>46</v>
      </c>
      <c r="D59" s="9">
        <f>+D56+D57-D58</f>
        <v>677712.3287671234</v>
      </c>
      <c r="E59" s="9">
        <f aca="true" t="shared" si="28" ref="E59:N59">+E56+E57-E58</f>
        <v>697599.8630136986</v>
      </c>
      <c r="F59" s="9">
        <f t="shared" si="28"/>
        <v>718162.4342465752</v>
      </c>
      <c r="G59" s="9">
        <f t="shared" si="28"/>
        <v>739426.4628904111</v>
      </c>
      <c r="H59" s="9">
        <f t="shared" si="28"/>
        <v>761419.5799278084</v>
      </c>
      <c r="I59" s="9">
        <f t="shared" si="28"/>
        <v>784170.6912975328</v>
      </c>
      <c r="J59" s="9">
        <f t="shared" si="28"/>
        <v>807710.0461268539</v>
      </c>
      <c r="K59" s="9">
        <f t="shared" si="28"/>
        <v>832069.3090429581</v>
      </c>
      <c r="L59" s="9">
        <f t="shared" si="28"/>
        <v>857281.6368246713</v>
      </c>
      <c r="M59" s="9">
        <f t="shared" si="28"/>
        <v>883381.759673109</v>
      </c>
      <c r="N59" s="9">
        <f t="shared" si="28"/>
        <v>910406.0673984473</v>
      </c>
    </row>
    <row r="62" spans="1:14" ht="12.75">
      <c r="A62" t="s">
        <v>51</v>
      </c>
      <c r="D62">
        <v>1</v>
      </c>
      <c r="E62">
        <v>1.1</v>
      </c>
      <c r="F62">
        <v>1.21</v>
      </c>
      <c r="G62">
        <v>1.331</v>
      </c>
      <c r="H62">
        <v>1.461</v>
      </c>
      <c r="I62">
        <v>1.6105</v>
      </c>
      <c r="J62">
        <v>1.7716</v>
      </c>
      <c r="K62">
        <v>1.9487</v>
      </c>
      <c r="L62">
        <v>2.1436</v>
      </c>
      <c r="M62">
        <v>2.3579</v>
      </c>
      <c r="N62">
        <v>2.5937</v>
      </c>
    </row>
  </sheetData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9" sqref="A19"/>
    </sheetView>
  </sheetViews>
  <sheetFormatPr defaultColWidth="9.140625" defaultRowHeight="12.75"/>
  <cols>
    <col min="1" max="1" width="20.8515625" style="0" bestFit="1" customWidth="1"/>
    <col min="3" max="3" width="14.7109375" style="0" bestFit="1" customWidth="1"/>
    <col min="4" max="5" width="14.57421875" style="0" bestFit="1" customWidth="1"/>
    <col min="6" max="14" width="14.140625" style="0" bestFit="1" customWidth="1"/>
  </cols>
  <sheetData>
    <row r="1" spans="1:14" s="7" customFormat="1" ht="12.75">
      <c r="A1" s="7" t="s">
        <v>21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</row>
    <row r="2" spans="1:14" ht="12.75">
      <c r="A2" t="s">
        <v>20</v>
      </c>
      <c r="C2" s="6"/>
      <c r="D2" s="6">
        <v>3765000</v>
      </c>
      <c r="E2" s="6">
        <v>3877950</v>
      </c>
      <c r="F2" s="6">
        <v>3994288.5</v>
      </c>
      <c r="G2" s="6">
        <v>4114117.1550000007</v>
      </c>
      <c r="H2" s="6">
        <v>4237540.6696500005</v>
      </c>
      <c r="I2" s="6">
        <v>4364666.8897395</v>
      </c>
      <c r="J2" s="6">
        <v>4495606.896431685</v>
      </c>
      <c r="K2" s="6">
        <v>4630475.103324637</v>
      </c>
      <c r="L2" s="6">
        <v>4769389.356424375</v>
      </c>
      <c r="M2" s="6">
        <v>4912471.037117107</v>
      </c>
      <c r="N2" s="6">
        <v>5059845.16823062</v>
      </c>
    </row>
    <row r="3" spans="1:14" ht="12.75">
      <c r="A3" t="s">
        <v>22</v>
      </c>
      <c r="C3" s="6"/>
      <c r="D3" s="6">
        <v>3120000</v>
      </c>
      <c r="E3" s="6">
        <v>3154556.5</v>
      </c>
      <c r="F3" s="6">
        <v>3283133.195</v>
      </c>
      <c r="G3" s="6">
        <v>3419820.9908500006</v>
      </c>
      <c r="H3" s="6">
        <v>3565201.1025755</v>
      </c>
      <c r="I3" s="6">
        <v>3719898.1178327654</v>
      </c>
      <c r="J3" s="6">
        <v>3884583.2959471485</v>
      </c>
      <c r="K3" s="6">
        <v>4059978.1207955815</v>
      </c>
      <c r="L3" s="6">
        <v>4246858.127217914</v>
      </c>
      <c r="M3" s="6">
        <v>4446057.0221768115</v>
      </c>
      <c r="N3" s="6">
        <v>4658471.12354113</v>
      </c>
    </row>
    <row r="4" spans="1:14" ht="12.75">
      <c r="A4" t="s">
        <v>23</v>
      </c>
      <c r="C4" s="6"/>
      <c r="D4" s="6">
        <v>30000</v>
      </c>
      <c r="E4" s="6">
        <v>30000</v>
      </c>
      <c r="F4" s="6">
        <v>30000</v>
      </c>
      <c r="G4" s="6">
        <v>30000</v>
      </c>
      <c r="H4" s="6">
        <v>30000</v>
      </c>
      <c r="I4" s="6">
        <v>30000</v>
      </c>
      <c r="J4" s="6">
        <v>30000</v>
      </c>
      <c r="K4" s="6">
        <v>30000</v>
      </c>
      <c r="L4" s="6">
        <v>30000</v>
      </c>
      <c r="M4" s="6">
        <v>30000</v>
      </c>
      <c r="N4" s="6"/>
    </row>
    <row r="5" spans="1:14" ht="12.75">
      <c r="A5" t="s">
        <v>53</v>
      </c>
      <c r="C5" s="6"/>
      <c r="D5" s="6">
        <v>188485.1</v>
      </c>
      <c r="E5" s="6">
        <v>323023.1</v>
      </c>
      <c r="F5" s="6">
        <v>230693.1</v>
      </c>
      <c r="G5" s="6">
        <v>164743.1</v>
      </c>
      <c r="H5" s="6">
        <v>117786.7</v>
      </c>
      <c r="I5" s="6">
        <v>117654.8</v>
      </c>
      <c r="J5" s="6">
        <v>117786.7</v>
      </c>
      <c r="K5" s="6">
        <v>58827.4</v>
      </c>
      <c r="L5" s="6">
        <v>0</v>
      </c>
      <c r="M5" s="6">
        <v>0</v>
      </c>
      <c r="N5" s="6">
        <v>0</v>
      </c>
    </row>
    <row r="6" spans="1:14" ht="12.75">
      <c r="A6" t="s">
        <v>52</v>
      </c>
      <c r="C6" s="6"/>
      <c r="D6" s="6">
        <v>426514.9</v>
      </c>
      <c r="E6" s="6">
        <v>370370.4</v>
      </c>
      <c r="F6" s="6">
        <v>450462.2050000002</v>
      </c>
      <c r="G6" s="6">
        <v>499553.0641500001</v>
      </c>
      <c r="H6" s="6">
        <v>524552.8670745005</v>
      </c>
      <c r="I6" s="6">
        <v>497113.9719067349</v>
      </c>
      <c r="J6" s="6">
        <v>463236.90048453695</v>
      </c>
      <c r="K6" s="6">
        <v>481669.5825290553</v>
      </c>
      <c r="L6" s="6">
        <v>492531.22920646146</v>
      </c>
      <c r="M6" s="6">
        <v>436414.01494029537</v>
      </c>
      <c r="N6" s="6">
        <v>401374.04468949046</v>
      </c>
    </row>
    <row r="7" spans="1:14" ht="12.75">
      <c r="A7" t="s">
        <v>26</v>
      </c>
      <c r="C7" s="6"/>
      <c r="D7" s="6">
        <v>170605.96</v>
      </c>
      <c r="E7" s="6">
        <v>148148.16</v>
      </c>
      <c r="F7" s="6">
        <v>180184.8820000001</v>
      </c>
      <c r="G7" s="6">
        <v>199821.22566000005</v>
      </c>
      <c r="H7" s="6">
        <v>209821.14682980021</v>
      </c>
      <c r="I7" s="6">
        <v>198845.58876269398</v>
      </c>
      <c r="J7" s="6">
        <v>185294.7601938148</v>
      </c>
      <c r="K7" s="6">
        <v>192667.83301162213</v>
      </c>
      <c r="L7" s="6">
        <v>197012.4916825846</v>
      </c>
      <c r="M7" s="6">
        <v>174565.60597611815</v>
      </c>
      <c r="N7" s="6">
        <v>160549.6178757962</v>
      </c>
    </row>
    <row r="8" spans="1:14" ht="12.75">
      <c r="A8" t="s">
        <v>54</v>
      </c>
      <c r="C8" s="6"/>
      <c r="D8" s="6">
        <v>255908.94</v>
      </c>
      <c r="E8" s="6">
        <v>222222.24</v>
      </c>
      <c r="F8" s="6">
        <v>270277.3230000001</v>
      </c>
      <c r="G8" s="6">
        <v>299731.83849000005</v>
      </c>
      <c r="H8" s="6">
        <v>314731.7202447003</v>
      </c>
      <c r="I8" s="6">
        <v>298268.38314404094</v>
      </c>
      <c r="J8" s="6">
        <v>277942.14029072213</v>
      </c>
      <c r="K8" s="6">
        <v>289001.74951743317</v>
      </c>
      <c r="L8" s="6">
        <v>295518.7375238768</v>
      </c>
      <c r="M8" s="6">
        <v>261848.40896417722</v>
      </c>
      <c r="N8" s="6">
        <v>240824.42681369427</v>
      </c>
    </row>
    <row r="9" spans="1:14" ht="12.75">
      <c r="A9" t="s">
        <v>55</v>
      </c>
      <c r="C9" s="6"/>
      <c r="D9" s="6">
        <v>188485.1</v>
      </c>
      <c r="E9" s="6">
        <v>323023.1</v>
      </c>
      <c r="F9" s="6">
        <v>230693.1</v>
      </c>
      <c r="G9" s="6">
        <v>164743.1</v>
      </c>
      <c r="H9" s="6">
        <v>117786.7</v>
      </c>
      <c r="I9" s="6">
        <v>117654.8</v>
      </c>
      <c r="J9" s="6">
        <v>117786.7</v>
      </c>
      <c r="K9" s="6">
        <v>58827.4</v>
      </c>
      <c r="L9" s="6">
        <v>0</v>
      </c>
      <c r="M9" s="6">
        <v>0</v>
      </c>
      <c r="N9" s="6">
        <v>0</v>
      </c>
    </row>
    <row r="10" spans="1:14" ht="12.75">
      <c r="A10" t="s">
        <v>56</v>
      </c>
      <c r="C10" s="6"/>
      <c r="D10" s="6">
        <v>444394.04</v>
      </c>
      <c r="E10" s="6">
        <v>545245.34</v>
      </c>
      <c r="F10" s="6">
        <v>500970.42300000007</v>
      </c>
      <c r="G10" s="6">
        <v>464474.9384900001</v>
      </c>
      <c r="H10" s="6">
        <v>432518.42024470033</v>
      </c>
      <c r="I10" s="6">
        <v>415923.18314404093</v>
      </c>
      <c r="J10" s="6">
        <v>395728.84029072215</v>
      </c>
      <c r="K10" s="6">
        <v>347829.1495174332</v>
      </c>
      <c r="L10" s="6">
        <v>295518.7375238768</v>
      </c>
      <c r="M10" s="6">
        <v>261848.40896417722</v>
      </c>
      <c r="N10" s="6">
        <v>240824.42681369427</v>
      </c>
    </row>
    <row r="11" spans="1:14" ht="12.75">
      <c r="A11" t="s">
        <v>29</v>
      </c>
      <c r="C11" s="6">
        <v>-1319000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t="s">
        <v>57</v>
      </c>
      <c r="C12" s="6"/>
      <c r="D12" s="6">
        <v>-677712.3287671234</v>
      </c>
      <c r="E12" s="6">
        <v>-19887.534246575204</v>
      </c>
      <c r="F12" s="6">
        <v>-20562.571232876624</v>
      </c>
      <c r="G12" s="6">
        <v>-21264.028643835918</v>
      </c>
      <c r="H12" s="6">
        <v>-21993.117037397227</v>
      </c>
      <c r="I12" s="6">
        <v>-22751.111369724385</v>
      </c>
      <c r="J12" s="6">
        <v>-23539.35482932115</v>
      </c>
      <c r="K12" s="6">
        <v>-24359.26291610417</v>
      </c>
      <c r="L12" s="6">
        <v>-25212.32778171322</v>
      </c>
      <c r="M12" s="6">
        <v>-26100.12284843775</v>
      </c>
      <c r="N12" s="6">
        <v>-27024.307725338265</v>
      </c>
    </row>
    <row r="13" spans="1:14" ht="12.75">
      <c r="A13" t="s">
        <v>32</v>
      </c>
      <c r="C13" s="6">
        <v>-1319000</v>
      </c>
      <c r="D13" s="6">
        <v>-233318.28876712336</v>
      </c>
      <c r="E13" s="6">
        <v>525357.8057534248</v>
      </c>
      <c r="F13" s="6">
        <v>480407.85176712344</v>
      </c>
      <c r="G13" s="6">
        <v>443210.90984616417</v>
      </c>
      <c r="H13" s="6">
        <v>410525.3032073031</v>
      </c>
      <c r="I13" s="6">
        <v>393172.07177431654</v>
      </c>
      <c r="J13" s="6">
        <v>372189.485461401</v>
      </c>
      <c r="K13" s="6">
        <v>323469.886601329</v>
      </c>
      <c r="L13" s="6">
        <v>270306.4097421636</v>
      </c>
      <c r="M13" s="6">
        <v>235748.28611573947</v>
      </c>
      <c r="N13" s="6">
        <v>213800.119088356</v>
      </c>
    </row>
    <row r="14" spans="1:13" ht="12.75">
      <c r="A14" t="s">
        <v>48</v>
      </c>
      <c r="C14">
        <v>1</v>
      </c>
      <c r="D14">
        <v>0.9091</v>
      </c>
      <c r="E14">
        <v>0.8264</v>
      </c>
      <c r="F14">
        <v>0.7513</v>
      </c>
      <c r="G14">
        <v>0.683</v>
      </c>
      <c r="H14">
        <v>0.6209</v>
      </c>
      <c r="I14">
        <v>0.5645</v>
      </c>
      <c r="J14">
        <v>0.5132</v>
      </c>
      <c r="K14">
        <v>0.4665</v>
      </c>
      <c r="L14">
        <v>0.441</v>
      </c>
      <c r="M14">
        <v>0.3855</v>
      </c>
    </row>
    <row r="15" spans="1:15" ht="12.75">
      <c r="A15" t="s">
        <v>49</v>
      </c>
      <c r="C15" s="6">
        <v>-1319000</v>
      </c>
      <c r="D15" s="6">
        <v>-212109.65631819185</v>
      </c>
      <c r="E15" s="6">
        <v>434155.6906746302</v>
      </c>
      <c r="F15" s="6">
        <v>360930.4190326398</v>
      </c>
      <c r="G15" s="6">
        <v>302713.05142493016</v>
      </c>
      <c r="H15" s="6">
        <v>254895.1607614145</v>
      </c>
      <c r="I15" s="6">
        <v>221945.63451660168</v>
      </c>
      <c r="J15" s="6">
        <v>191007.64393879098</v>
      </c>
      <c r="K15" s="6">
        <v>150898.70209952</v>
      </c>
      <c r="L15" s="6">
        <v>119205.12669629416</v>
      </c>
      <c r="M15" s="6">
        <v>90880.96429761757</v>
      </c>
      <c r="N15" s="6">
        <v>0</v>
      </c>
      <c r="O15">
        <v>595522.7371242472</v>
      </c>
    </row>
    <row r="16" spans="3:14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t="s">
        <v>50</v>
      </c>
      <c r="C17" s="6">
        <v>-1319000</v>
      </c>
      <c r="D17" s="6">
        <v>-1552318.2887671234</v>
      </c>
      <c r="E17" s="6">
        <v>-1026960.4830136986</v>
      </c>
      <c r="F17" s="6">
        <v>-546552.6312465752</v>
      </c>
      <c r="G17" s="6">
        <v>-103341.72140041098</v>
      </c>
      <c r="H17" s="6">
        <v>307183.5818068921</v>
      </c>
      <c r="I17" s="6">
        <v>700355.6535812087</v>
      </c>
      <c r="J17" s="6">
        <v>1072545.1390426096</v>
      </c>
      <c r="K17" s="6">
        <v>1396015.0256439387</v>
      </c>
      <c r="L17" s="6">
        <v>1666321.4353861022</v>
      </c>
      <c r="M17" s="6">
        <v>1902069.7215018417</v>
      </c>
      <c r="N17" s="6">
        <v>2115869.8405901976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F25" sqref="F25"/>
    </sheetView>
  </sheetViews>
  <sheetFormatPr defaultColWidth="9.140625" defaultRowHeight="12.75"/>
  <cols>
    <col min="3" max="3" width="14.57421875" style="0" bestFit="1" customWidth="1"/>
    <col min="4" max="4" width="16.00390625" style="0" bestFit="1" customWidth="1"/>
    <col min="5" max="6" width="14.57421875" style="0" bestFit="1" customWidth="1"/>
    <col min="7" max="7" width="15.57421875" style="0" bestFit="1" customWidth="1"/>
    <col min="8" max="8" width="14.57421875" style="0" bestFit="1" customWidth="1"/>
    <col min="9" max="9" width="15.8515625" style="0" bestFit="1" customWidth="1"/>
  </cols>
  <sheetData>
    <row r="1" spans="3:9" ht="12.75">
      <c r="C1" s="30" t="s">
        <v>58</v>
      </c>
      <c r="D1" s="30" t="s">
        <v>59</v>
      </c>
      <c r="E1" s="30" t="s">
        <v>60</v>
      </c>
      <c r="F1" s="30" t="s">
        <v>61</v>
      </c>
      <c r="G1" s="30" t="s">
        <v>62</v>
      </c>
      <c r="H1" s="30" t="s">
        <v>63</v>
      </c>
      <c r="I1" s="31" t="s">
        <v>67</v>
      </c>
    </row>
    <row r="2" spans="2:8" ht="12.75">
      <c r="B2">
        <v>0</v>
      </c>
      <c r="C2" s="6">
        <v>-1319000</v>
      </c>
      <c r="D2" s="6">
        <v>-3534000</v>
      </c>
      <c r="E2" s="6">
        <v>-1582000</v>
      </c>
      <c r="F2" s="6">
        <v>-4845000</v>
      </c>
      <c r="G2" s="6">
        <v>-24050000</v>
      </c>
      <c r="H2" s="6">
        <v>-1650000</v>
      </c>
    </row>
    <row r="3" spans="2:8" ht="12.75">
      <c r="B3">
        <v>1</v>
      </c>
      <c r="C3" s="6">
        <v>-233318.28876712336</v>
      </c>
      <c r="D3" s="13">
        <v>-583296</v>
      </c>
      <c r="E3" s="6">
        <v>465263</v>
      </c>
      <c r="F3" s="6">
        <v>661105</v>
      </c>
      <c r="G3" s="6">
        <v>4374354</v>
      </c>
      <c r="H3" s="6">
        <v>0</v>
      </c>
    </row>
    <row r="4" spans="2:8" ht="12.75">
      <c r="B4">
        <v>2</v>
      </c>
      <c r="C4" s="6">
        <v>525357.8057534248</v>
      </c>
      <c r="D4" s="6">
        <v>1260859</v>
      </c>
      <c r="E4" s="6">
        <v>766303</v>
      </c>
      <c r="F4" s="6">
        <v>831781</v>
      </c>
      <c r="G4" s="6">
        <v>3146041</v>
      </c>
      <c r="H4" s="6">
        <v>0</v>
      </c>
    </row>
    <row r="5" spans="2:8" ht="12.75">
      <c r="B5">
        <v>3</v>
      </c>
      <c r="C5" s="6">
        <v>480407.85176712344</v>
      </c>
      <c r="D5" s="6">
        <v>1104938</v>
      </c>
      <c r="E5" s="6">
        <v>725619</v>
      </c>
      <c r="F5" s="6">
        <v>710338</v>
      </c>
      <c r="G5" s="6">
        <v>3208962</v>
      </c>
      <c r="H5" s="6">
        <v>2000000</v>
      </c>
    </row>
    <row r="6" spans="2:8" ht="12.75">
      <c r="B6">
        <v>4</v>
      </c>
      <c r="C6" s="6">
        <v>443210.90984616417</v>
      </c>
      <c r="D6" s="6">
        <v>975064</v>
      </c>
      <c r="E6" s="6">
        <v>696446</v>
      </c>
      <c r="F6" s="6">
        <v>628331</v>
      </c>
      <c r="G6" s="6">
        <v>3273141</v>
      </c>
      <c r="H6" s="6"/>
    </row>
    <row r="7" spans="2:8" ht="12.75">
      <c r="B7">
        <v>5</v>
      </c>
      <c r="C7" s="6">
        <v>410525.3032073031</v>
      </c>
      <c r="D7" s="6">
        <v>862103</v>
      </c>
      <c r="E7" s="6">
        <v>383065</v>
      </c>
      <c r="F7" s="6">
        <v>574938</v>
      </c>
      <c r="G7" s="6">
        <v>3338604</v>
      </c>
      <c r="H7" s="6"/>
    </row>
    <row r="8" spans="2:8" ht="12.75">
      <c r="B8">
        <v>6</v>
      </c>
      <c r="C8" s="6">
        <v>393172.07177431654</v>
      </c>
      <c r="D8" s="6">
        <v>786450</v>
      </c>
      <c r="E8" s="6">
        <v>197318</v>
      </c>
      <c r="F8" s="6">
        <v>591281</v>
      </c>
      <c r="G8" s="6">
        <v>3405376</v>
      </c>
      <c r="H8" s="6"/>
    </row>
    <row r="9" spans="2:8" ht="12.75">
      <c r="B9">
        <v>7</v>
      </c>
      <c r="C9" s="6">
        <v>372189.485461401</v>
      </c>
      <c r="D9" s="6">
        <v>744379</v>
      </c>
      <c r="E9" s="6">
        <v>192677</v>
      </c>
      <c r="F9" s="6">
        <v>608404</v>
      </c>
      <c r="G9" s="6">
        <v>3473484</v>
      </c>
      <c r="H9" s="6"/>
    </row>
    <row r="10" spans="2:8" ht="12.75">
      <c r="B10">
        <v>8</v>
      </c>
      <c r="C10" s="6">
        <v>323469.886601329</v>
      </c>
      <c r="D10" s="6">
        <v>646834</v>
      </c>
      <c r="E10" s="6">
        <v>158739</v>
      </c>
      <c r="F10" s="6">
        <v>539522</v>
      </c>
      <c r="G10" s="6">
        <v>3542953</v>
      </c>
      <c r="H10" s="6"/>
    </row>
    <row r="11" spans="2:8" ht="12.75">
      <c r="B11">
        <v>9</v>
      </c>
      <c r="C11" s="6">
        <v>270306.4097421636</v>
      </c>
      <c r="D11" s="6">
        <v>486552</v>
      </c>
      <c r="E11" s="6">
        <v>123951</v>
      </c>
      <c r="F11" s="6">
        <v>472081</v>
      </c>
      <c r="G11" s="6">
        <v>3613812</v>
      </c>
      <c r="H11" s="6"/>
    </row>
    <row r="12" spans="2:8" ht="12.75">
      <c r="B12">
        <v>10</v>
      </c>
      <c r="C12" s="6">
        <v>235748.28611573947</v>
      </c>
      <c r="D12" s="6">
        <v>2872825</v>
      </c>
      <c r="E12" s="6">
        <v>279133</v>
      </c>
      <c r="F12" s="6">
        <v>551449</v>
      </c>
      <c r="G12" s="6">
        <v>41652800</v>
      </c>
      <c r="H12" s="6"/>
    </row>
    <row r="13" spans="1:8" ht="12.75">
      <c r="A13" s="14" t="s">
        <v>38</v>
      </c>
      <c r="C13" s="15">
        <f>IRR(C2:C12)</f>
        <v>0.1827898155084113</v>
      </c>
      <c r="D13" s="15">
        <f>IRR(D2:D12)</f>
        <v>0.16685452265425124</v>
      </c>
      <c r="E13" s="15">
        <f>IRR(E2:E12)</f>
        <v>0.3083735810428867</v>
      </c>
      <c r="F13" s="15">
        <f>IRR(F2:F12)</f>
        <v>0.050078585866085046</v>
      </c>
      <c r="G13" s="15">
        <f>IRR(G2:G12)</f>
        <v>0.17239046243870365</v>
      </c>
      <c r="H13" s="16">
        <f>IRR(H2:H5)</f>
        <v>0.06622456426143519</v>
      </c>
    </row>
    <row r="14" spans="1:8" ht="12.75">
      <c r="A14" s="14" t="s">
        <v>64</v>
      </c>
      <c r="C14" s="16">
        <f>MIRR(C2:C12,0.1,0.1)</f>
        <v>0.1364978749913004</v>
      </c>
      <c r="D14" s="16">
        <f>MIRR(D2:D12,0.1,0.1)</f>
        <v>0.1340954827504981</v>
      </c>
      <c r="E14" s="16">
        <f>MIRR(E2:E12,0.1,0.1)</f>
        <v>0.1629327967519354</v>
      </c>
      <c r="F14" s="16">
        <f>MIRR(F2:F12,0.1,0.1)</f>
        <v>0.0769064168342386</v>
      </c>
      <c r="G14" s="16">
        <f>MIRR(G2:G12,0.1,0.1)</f>
        <v>0.1460574744820733</v>
      </c>
      <c r="H14" s="16">
        <f>MIRR(H2:H5,0.1,0.1)</f>
        <v>0.06622456426143497</v>
      </c>
    </row>
    <row r="15" spans="1:8" ht="12.75">
      <c r="A15" s="14" t="s">
        <v>65</v>
      </c>
      <c r="C15" s="17">
        <v>0.1</v>
      </c>
      <c r="D15" s="17">
        <v>0.1</v>
      </c>
      <c r="E15" s="17">
        <v>0.13</v>
      </c>
      <c r="F15" s="17">
        <v>0.08</v>
      </c>
      <c r="G15" s="17">
        <v>0.13</v>
      </c>
      <c r="H15" s="17">
        <v>0.08</v>
      </c>
    </row>
    <row r="16" spans="1:7" ht="12.75">
      <c r="A16" s="25" t="s">
        <v>66</v>
      </c>
      <c r="C16" s="26">
        <f>SUM(C3:C12)/C2*-1</f>
        <v>2.4420543756647777</v>
      </c>
      <c r="D16" s="26">
        <f>SUM(D3:D12)/D2*-1</f>
        <v>2.591032258064516</v>
      </c>
      <c r="E16" s="26">
        <f>SUM(E3:E12)/E2*-1</f>
        <v>2.5211845764854615</v>
      </c>
      <c r="F16" s="26">
        <f>SUM(F3:F12)/F2*-1</f>
        <v>1.2733188854489164</v>
      </c>
      <c r="G16" s="26">
        <f>SUM(G3:G12)/G2*-1</f>
        <v>3.036570769230769</v>
      </c>
    </row>
    <row r="17" spans="1:9" ht="12.75">
      <c r="A17" s="25" t="s">
        <v>36</v>
      </c>
      <c r="C17" s="28">
        <f>C3+(C4*D29)+(C5*E29)+(C6*F29)+(C7*G29)+(C8*H29)+(C9*I29)+(C10*J29)+(C11*K29)+(C12*L29)</f>
        <v>2104955.863834874</v>
      </c>
      <c r="D17" s="28">
        <f>D3+(D4*E29)+(D5*F29)+(D6*G29)+(D7*H29)+(D8*I29)+(D9*J29)+(D10*K29)+(D11*L29)+(D12*M29)</f>
        <v>4939824.120000001</v>
      </c>
      <c r="E17" s="28">
        <f>E3+(E4*F29)+(E5*G29)+(E6*H29)+(E7*I29)+(E8*J29)+(E9*K29)+(E10*L29)+(E11*M29)+(E12*N29)</f>
        <v>2494182.1624000003</v>
      </c>
      <c r="F17" s="28">
        <f>F3+(F4*G29)+(F5*H29)+(F6*I29)+(F7*J29)+(F8*K29)+(F9*L29)+(F10*M29)+(F11*N29)+(F12*O29)</f>
        <v>3072135.7998</v>
      </c>
      <c r="G17" s="28">
        <f>G3+(G4*H29)+(G5*I29)+(G6*J29)+(G7*K29)+(G8*L29)+(G9*M29)+(G10*N29)+(G11*O29)+(G12*P29)</f>
        <v>14217223.531100001</v>
      </c>
      <c r="H17" s="29"/>
      <c r="I17" s="28">
        <f>SUM(C17:H17)</f>
        <v>26828321.477134876</v>
      </c>
    </row>
    <row r="18" ht="12.75">
      <c r="D18" s="8"/>
    </row>
    <row r="19" spans="3:13" ht="12.7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9" spans="3:13" ht="12.75">
      <c r="C29" s="32">
        <v>1</v>
      </c>
      <c r="D29" s="32">
        <v>0.9091</v>
      </c>
      <c r="E29" s="32">
        <v>0.8264</v>
      </c>
      <c r="F29" s="32">
        <v>0.7513</v>
      </c>
      <c r="G29" s="32">
        <v>0.683</v>
      </c>
      <c r="H29" s="32">
        <v>0.6209</v>
      </c>
      <c r="I29" s="32">
        <v>0.5645</v>
      </c>
      <c r="J29" s="32">
        <v>0.5132</v>
      </c>
      <c r="K29" s="32">
        <v>0.4665</v>
      </c>
      <c r="L29" s="32">
        <v>0.441</v>
      </c>
      <c r="M29" s="32">
        <v>0.3855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Bobbitt</dc:creator>
  <cp:keywords/>
  <dc:description/>
  <cp:lastModifiedBy>michael kuhl</cp:lastModifiedBy>
  <cp:lastPrinted>2005-09-07T18:45:43Z</cp:lastPrinted>
  <dcterms:created xsi:type="dcterms:W3CDTF">2005-09-06T21:19:26Z</dcterms:created>
  <dcterms:modified xsi:type="dcterms:W3CDTF">2005-09-10T02:11:54Z</dcterms:modified>
  <cp:category/>
  <cp:version/>
  <cp:contentType/>
  <cp:contentStatus/>
</cp:coreProperties>
</file>