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52" windowWidth="19092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Sheet1!$A$1:$AF$69</definedName>
  </definedNames>
  <calcPr calcId="125725"/>
</workbook>
</file>

<file path=xl/calcChain.xml><?xml version="1.0" encoding="utf-8"?>
<calcChain xmlns="http://schemas.openxmlformats.org/spreadsheetml/2006/main">
  <c r="G28" i="1"/>
  <c r="G27"/>
  <c r="G30" l="1"/>
  <c r="G68"/>
  <c r="H65"/>
  <c r="G29"/>
  <c r="G65"/>
  <c r="I10" l="1"/>
  <c r="AF49"/>
  <c r="AE49"/>
  <c r="AD49"/>
  <c r="AC49"/>
  <c r="AB49"/>
  <c r="AA49"/>
  <c r="Z49"/>
  <c r="Y49"/>
  <c r="X49"/>
  <c r="W49"/>
  <c r="V49"/>
  <c r="U49"/>
  <c r="T49"/>
  <c r="S49"/>
  <c r="R49"/>
  <c r="C34" l="1"/>
  <c r="B37" l="1"/>
  <c r="B26" l="1"/>
  <c r="B13"/>
  <c r="I60" l="1"/>
  <c r="J60" s="1"/>
  <c r="K60" s="1"/>
  <c r="L60" s="1"/>
  <c r="M60" s="1"/>
  <c r="N60" s="1"/>
  <c r="O60" s="1"/>
  <c r="P60" s="1"/>
  <c r="Q60" s="1"/>
  <c r="R60" s="1"/>
  <c r="S60" s="1"/>
  <c r="T60" s="1"/>
  <c r="U60" s="1"/>
  <c r="V60" s="1"/>
  <c r="W60" s="1"/>
  <c r="X60" s="1"/>
  <c r="Y60" s="1"/>
  <c r="Z60" s="1"/>
  <c r="AA60" s="1"/>
  <c r="AB60" s="1"/>
  <c r="AC60" s="1"/>
  <c r="AD60" s="1"/>
  <c r="AE60" s="1"/>
  <c r="AF60" s="1"/>
  <c r="I56"/>
  <c r="J56" s="1"/>
  <c r="K56" s="1"/>
  <c r="L56" s="1"/>
  <c r="M56" s="1"/>
  <c r="N56" s="1"/>
  <c r="O56" s="1"/>
  <c r="P56" s="1"/>
  <c r="Q56" s="1"/>
  <c r="R56" s="1"/>
  <c r="S56" s="1"/>
  <c r="T56" s="1"/>
  <c r="U56" s="1"/>
  <c r="V56" s="1"/>
  <c r="W56" s="1"/>
  <c r="X56" s="1"/>
  <c r="Y56" s="1"/>
  <c r="Z56" s="1"/>
  <c r="AA56" s="1"/>
  <c r="AB56" s="1"/>
  <c r="AC56" s="1"/>
  <c r="AD56" s="1"/>
  <c r="AE56" s="1"/>
  <c r="AF56" s="1"/>
  <c r="S51"/>
  <c r="S52" s="1"/>
  <c r="S53" s="1"/>
  <c r="S55" s="1"/>
  <c r="T51"/>
  <c r="U51"/>
  <c r="U52" s="1"/>
  <c r="U53" s="1"/>
  <c r="U55" s="1"/>
  <c r="V51"/>
  <c r="V52" s="1"/>
  <c r="V53" s="1"/>
  <c r="V55" s="1"/>
  <c r="W51"/>
  <c r="W52" s="1"/>
  <c r="W53" s="1"/>
  <c r="W55" s="1"/>
  <c r="X51"/>
  <c r="Y51"/>
  <c r="Y52" s="1"/>
  <c r="Y53" s="1"/>
  <c r="Y55" s="1"/>
  <c r="Z51"/>
  <c r="Z52" s="1"/>
  <c r="Z53" s="1"/>
  <c r="Z55" s="1"/>
  <c r="AA51"/>
  <c r="AA52" s="1"/>
  <c r="AA53" s="1"/>
  <c r="AA55" s="1"/>
  <c r="AB51"/>
  <c r="AC51"/>
  <c r="AC52" s="1"/>
  <c r="AC53" s="1"/>
  <c r="AC55" s="1"/>
  <c r="AD51"/>
  <c r="AD52" s="1"/>
  <c r="AD53" s="1"/>
  <c r="AD55" s="1"/>
  <c r="AE51"/>
  <c r="AE52" s="1"/>
  <c r="AE53" s="1"/>
  <c r="AE55" s="1"/>
  <c r="AF51"/>
  <c r="Q50"/>
  <c r="Q51" s="1"/>
  <c r="Q52" s="1"/>
  <c r="Q53" s="1"/>
  <c r="Q55" s="1"/>
  <c r="R50"/>
  <c r="R51" s="1"/>
  <c r="R52" s="1"/>
  <c r="R53" s="1"/>
  <c r="R55" s="1"/>
  <c r="B22"/>
  <c r="I38"/>
  <c r="I39" s="1"/>
  <c r="G50" s="1"/>
  <c r="G51" s="1"/>
  <c r="I24"/>
  <c r="J24" s="1"/>
  <c r="K24" s="1"/>
  <c r="L24" s="1"/>
  <c r="M24" s="1"/>
  <c r="N24" s="1"/>
  <c r="O24" s="1"/>
  <c r="P24" s="1"/>
  <c r="Q24" s="1"/>
  <c r="R24" s="1"/>
  <c r="S24" s="1"/>
  <c r="T24" s="1"/>
  <c r="U24" s="1"/>
  <c r="V24" s="1"/>
  <c r="W24" s="1"/>
  <c r="X24" s="1"/>
  <c r="Y24" s="1"/>
  <c r="Z24" s="1"/>
  <c r="AA24" s="1"/>
  <c r="AB24" s="1"/>
  <c r="AC24" s="1"/>
  <c r="AD24" s="1"/>
  <c r="AE24" s="1"/>
  <c r="AF24" s="1"/>
  <c r="H24"/>
  <c r="H25" s="1"/>
  <c r="H26" s="1"/>
  <c r="G24"/>
  <c r="G25" s="1"/>
  <c r="I20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I11"/>
  <c r="I12" s="1"/>
  <c r="I13" s="1"/>
  <c r="J10"/>
  <c r="K10" s="1"/>
  <c r="L10" s="1"/>
  <c r="M10" s="1"/>
  <c r="N10" s="1"/>
  <c r="O10" s="1"/>
  <c r="P10" s="1"/>
  <c r="Q10" s="1"/>
  <c r="R10" s="1"/>
  <c r="S10" s="1"/>
  <c r="T10" s="1"/>
  <c r="J11"/>
  <c r="K11" s="1"/>
  <c r="L11" s="1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G52" l="1"/>
  <c r="G53" s="1"/>
  <c r="G55" s="1"/>
  <c r="G57" s="1"/>
  <c r="I40"/>
  <c r="I41"/>
  <c r="AD57"/>
  <c r="AD59" s="1"/>
  <c r="AD62" s="1"/>
  <c r="AD63" s="1"/>
  <c r="Z57"/>
  <c r="Z59" s="1"/>
  <c r="Z62" s="1"/>
  <c r="Z63" s="1"/>
  <c r="V57"/>
  <c r="V59" s="1"/>
  <c r="V62" s="1"/>
  <c r="V63" s="1"/>
  <c r="R57"/>
  <c r="R59" s="1"/>
  <c r="R62" s="1"/>
  <c r="R63" s="1"/>
  <c r="AE57"/>
  <c r="AE59" s="1"/>
  <c r="AE62" s="1"/>
  <c r="AE63" s="1"/>
  <c r="AA57"/>
  <c r="AA59" s="1"/>
  <c r="AA62" s="1"/>
  <c r="AA63" s="1"/>
  <c r="W57"/>
  <c r="W59" s="1"/>
  <c r="W62" s="1"/>
  <c r="W63" s="1"/>
  <c r="S57"/>
  <c r="S59" s="1"/>
  <c r="S62" s="1"/>
  <c r="S63" s="1"/>
  <c r="AC57"/>
  <c r="AC59" s="1"/>
  <c r="AC62" s="1"/>
  <c r="AC63" s="1"/>
  <c r="Y57"/>
  <c r="Y59" s="1"/>
  <c r="Y62" s="1"/>
  <c r="Y63" s="1"/>
  <c r="U57"/>
  <c r="U59" s="1"/>
  <c r="U62" s="1"/>
  <c r="U63" s="1"/>
  <c r="Q57"/>
  <c r="Q59" s="1"/>
  <c r="Q62" s="1"/>
  <c r="Q63" s="1"/>
  <c r="AF52"/>
  <c r="AF53" s="1"/>
  <c r="AF55" s="1"/>
  <c r="AF57" s="1"/>
  <c r="AF59" s="1"/>
  <c r="AF62" s="1"/>
  <c r="AF63" s="1"/>
  <c r="AB52"/>
  <c r="AB53" s="1"/>
  <c r="AB55" s="1"/>
  <c r="AB57" s="1"/>
  <c r="AB59" s="1"/>
  <c r="AB62" s="1"/>
  <c r="AB63" s="1"/>
  <c r="X52"/>
  <c r="X53" s="1"/>
  <c r="X55" s="1"/>
  <c r="X57" s="1"/>
  <c r="X59" s="1"/>
  <c r="X62" s="1"/>
  <c r="X63" s="1"/>
  <c r="T52"/>
  <c r="T53" s="1"/>
  <c r="T55" s="1"/>
  <c r="T57" s="1"/>
  <c r="T59" s="1"/>
  <c r="T62" s="1"/>
  <c r="T63" s="1"/>
  <c r="U10"/>
  <c r="T12"/>
  <c r="I15"/>
  <c r="G26"/>
  <c r="J12"/>
  <c r="S12"/>
  <c r="Q12"/>
  <c r="M12"/>
  <c r="P12"/>
  <c r="L12"/>
  <c r="O12"/>
  <c r="K12"/>
  <c r="R12"/>
  <c r="N12"/>
  <c r="C36"/>
  <c r="C35"/>
  <c r="C37" s="1"/>
  <c r="C32"/>
  <c r="C31"/>
  <c r="B21"/>
  <c r="G61" l="1"/>
  <c r="G62" s="1"/>
  <c r="G63" s="1"/>
  <c r="J38"/>
  <c r="T15"/>
  <c r="T13"/>
  <c r="J13"/>
  <c r="J15"/>
  <c r="V10"/>
  <c r="U12"/>
  <c r="I16"/>
  <c r="I17" s="1"/>
  <c r="I19" s="1"/>
  <c r="I21" s="1"/>
  <c r="I23" s="1"/>
  <c r="O13"/>
  <c r="O15"/>
  <c r="Q13"/>
  <c r="Q15"/>
  <c r="N13"/>
  <c r="N15"/>
  <c r="L13"/>
  <c r="L15"/>
  <c r="S13"/>
  <c r="S15"/>
  <c r="R13"/>
  <c r="R15"/>
  <c r="P13"/>
  <c r="P15"/>
  <c r="K13"/>
  <c r="K15"/>
  <c r="M13"/>
  <c r="M15"/>
  <c r="J39" l="1"/>
  <c r="I25"/>
  <c r="J16"/>
  <c r="J17" s="1"/>
  <c r="J19" s="1"/>
  <c r="J21" s="1"/>
  <c r="J23" s="1"/>
  <c r="J25" s="1"/>
  <c r="J26" s="1"/>
  <c r="U15"/>
  <c r="U13"/>
  <c r="W10"/>
  <c r="V12"/>
  <c r="T16"/>
  <c r="T17" s="1"/>
  <c r="T19" s="1"/>
  <c r="T21" s="1"/>
  <c r="T23" s="1"/>
  <c r="T25" s="1"/>
  <c r="T26" s="1"/>
  <c r="M16"/>
  <c r="M17" s="1"/>
  <c r="M19" s="1"/>
  <c r="M21" s="1"/>
  <c r="M23" s="1"/>
  <c r="M25" s="1"/>
  <c r="M26" s="1"/>
  <c r="P16"/>
  <c r="P17" s="1"/>
  <c r="P19" s="1"/>
  <c r="P21" s="1"/>
  <c r="P23" s="1"/>
  <c r="P25" s="1"/>
  <c r="P26" s="1"/>
  <c r="S16"/>
  <c r="S17" s="1"/>
  <c r="S19" s="1"/>
  <c r="S21" s="1"/>
  <c r="S23" s="1"/>
  <c r="S25" s="1"/>
  <c r="S26" s="1"/>
  <c r="N16"/>
  <c r="N17" s="1"/>
  <c r="N19" s="1"/>
  <c r="N21" s="1"/>
  <c r="N23" s="1"/>
  <c r="N25" s="1"/>
  <c r="N26" s="1"/>
  <c r="O16"/>
  <c r="O17" s="1"/>
  <c r="O19" s="1"/>
  <c r="O21" s="1"/>
  <c r="O23" s="1"/>
  <c r="O25" s="1"/>
  <c r="O26" s="1"/>
  <c r="K16"/>
  <c r="K17" s="1"/>
  <c r="K19" s="1"/>
  <c r="K21" s="1"/>
  <c r="K23" s="1"/>
  <c r="K25" s="1"/>
  <c r="K26" s="1"/>
  <c r="R16"/>
  <c r="R17" s="1"/>
  <c r="R19" s="1"/>
  <c r="R21" s="1"/>
  <c r="R23" s="1"/>
  <c r="R25" s="1"/>
  <c r="R26" s="1"/>
  <c r="L16"/>
  <c r="L17" s="1"/>
  <c r="L19" s="1"/>
  <c r="L21" s="1"/>
  <c r="L23" s="1"/>
  <c r="L25" s="1"/>
  <c r="L26" s="1"/>
  <c r="Q16"/>
  <c r="Q17" s="1"/>
  <c r="Q19" s="1"/>
  <c r="Q21" s="1"/>
  <c r="Q23" s="1"/>
  <c r="Q25" s="1"/>
  <c r="Q26" s="1"/>
  <c r="H50" l="1"/>
  <c r="H51" s="1"/>
  <c r="J40"/>
  <c r="J41" s="1"/>
  <c r="V15"/>
  <c r="V13"/>
  <c r="X10"/>
  <c r="W12"/>
  <c r="I26"/>
  <c r="U16"/>
  <c r="U17" s="1"/>
  <c r="U19" s="1"/>
  <c r="U21" s="1"/>
  <c r="U23" s="1"/>
  <c r="H52" l="1"/>
  <c r="H53" s="1"/>
  <c r="H55" s="1"/>
  <c r="H57" s="1"/>
  <c r="H61"/>
  <c r="H62" s="1"/>
  <c r="K38"/>
  <c r="U25"/>
  <c r="L27"/>
  <c r="Q27"/>
  <c r="S27"/>
  <c r="N27"/>
  <c r="R27"/>
  <c r="P27"/>
  <c r="M27"/>
  <c r="T27"/>
  <c r="O27"/>
  <c r="Y10"/>
  <c r="X12"/>
  <c r="W13"/>
  <c r="W15"/>
  <c r="V16"/>
  <c r="V17" s="1"/>
  <c r="V19" s="1"/>
  <c r="V21" s="1"/>
  <c r="V23" s="1"/>
  <c r="V25" s="1"/>
  <c r="V26" s="1"/>
  <c r="K39" l="1"/>
  <c r="H63"/>
  <c r="W16"/>
  <c r="W17" s="1"/>
  <c r="W19" s="1"/>
  <c r="W21" s="1"/>
  <c r="W23" s="1"/>
  <c r="Z10"/>
  <c r="Y12"/>
  <c r="X15"/>
  <c r="X13"/>
  <c r="U26"/>
  <c r="I50" l="1"/>
  <c r="I51" s="1"/>
  <c r="I52" s="1"/>
  <c r="I53" s="1"/>
  <c r="I55" s="1"/>
  <c r="I57" s="1"/>
  <c r="I59" s="1"/>
  <c r="K40"/>
  <c r="K41" s="1"/>
  <c r="W25"/>
  <c r="X16"/>
  <c r="X17" s="1"/>
  <c r="X19" s="1"/>
  <c r="X21" s="1"/>
  <c r="X23" s="1"/>
  <c r="X25" s="1"/>
  <c r="X26" s="1"/>
  <c r="V27"/>
  <c r="U27"/>
  <c r="Y13"/>
  <c r="Y15"/>
  <c r="AA10"/>
  <c r="Z12"/>
  <c r="I61" l="1"/>
  <c r="I62" s="1"/>
  <c r="L38"/>
  <c r="Z15"/>
  <c r="Z13"/>
  <c r="AB10"/>
  <c r="AA12"/>
  <c r="Y16"/>
  <c r="Y17" s="1"/>
  <c r="Y19" s="1"/>
  <c r="Y21" s="1"/>
  <c r="Y23" s="1"/>
  <c r="Y25" s="1"/>
  <c r="Y26" s="1"/>
  <c r="W26"/>
  <c r="L39" l="1"/>
  <c r="I63"/>
  <c r="AA13"/>
  <c r="AA15"/>
  <c r="W27"/>
  <c r="AC10"/>
  <c r="AB12"/>
  <c r="Z16"/>
  <c r="Z17" s="1"/>
  <c r="Z19" s="1"/>
  <c r="Z21" s="1"/>
  <c r="Z23" s="1"/>
  <c r="Z25" s="1"/>
  <c r="L40" l="1"/>
  <c r="J50"/>
  <c r="J51" s="1"/>
  <c r="J52" s="1"/>
  <c r="J53" s="1"/>
  <c r="J55" s="1"/>
  <c r="J57" s="1"/>
  <c r="J59" s="1"/>
  <c r="I64"/>
  <c r="Z26"/>
  <c r="AB15"/>
  <c r="AB13"/>
  <c r="AA16"/>
  <c r="AA17" s="1"/>
  <c r="AA19" s="1"/>
  <c r="AA21" s="1"/>
  <c r="AA23" s="1"/>
  <c r="AA25" s="1"/>
  <c r="AD10"/>
  <c r="AC12"/>
  <c r="J61" l="1"/>
  <c r="J62" s="1"/>
  <c r="M38"/>
  <c r="L41"/>
  <c r="AA26"/>
  <c r="AC15"/>
  <c r="AC13"/>
  <c r="AE10"/>
  <c r="AD12"/>
  <c r="AB16"/>
  <c r="AB17" s="1"/>
  <c r="AB19" s="1"/>
  <c r="AB21" s="1"/>
  <c r="AB23" s="1"/>
  <c r="AB25" s="1"/>
  <c r="AB26" s="1"/>
  <c r="M39" l="1"/>
  <c r="J63"/>
  <c r="AD15"/>
  <c r="AD13"/>
  <c r="AC16"/>
  <c r="AC17" s="1"/>
  <c r="AC19" s="1"/>
  <c r="AC21" s="1"/>
  <c r="AC23" s="1"/>
  <c r="AC25" s="1"/>
  <c r="AC26" s="1"/>
  <c r="AF10"/>
  <c r="AF12" s="1"/>
  <c r="AE12"/>
  <c r="M40" l="1"/>
  <c r="K50"/>
  <c r="K51" s="1"/>
  <c r="K52" s="1"/>
  <c r="K53" s="1"/>
  <c r="K55" s="1"/>
  <c r="K57" s="1"/>
  <c r="K59" s="1"/>
  <c r="J64"/>
  <c r="AF15"/>
  <c r="AF13"/>
  <c r="AD16"/>
  <c r="AD17" s="1"/>
  <c r="AD19" s="1"/>
  <c r="AD21" s="1"/>
  <c r="AD23" s="1"/>
  <c r="AD25" s="1"/>
  <c r="AD26" s="1"/>
  <c r="AE13"/>
  <c r="AE15"/>
  <c r="K61" l="1"/>
  <c r="K62" s="1"/>
  <c r="N38"/>
  <c r="M41"/>
  <c r="AE16"/>
  <c r="AE17" s="1"/>
  <c r="AE19" s="1"/>
  <c r="AE21" s="1"/>
  <c r="AE23" s="1"/>
  <c r="AE25" s="1"/>
  <c r="AE26" s="1"/>
  <c r="AF16"/>
  <c r="AF17" s="1"/>
  <c r="AF19" s="1"/>
  <c r="AF21" s="1"/>
  <c r="AF23" s="1"/>
  <c r="K63" l="1"/>
  <c r="N39"/>
  <c r="AF25"/>
  <c r="B14"/>
  <c r="K64" l="1"/>
  <c r="N40"/>
  <c r="L50"/>
  <c r="L51" s="1"/>
  <c r="AF26"/>
  <c r="I27" s="1"/>
  <c r="B12"/>
  <c r="L61" l="1"/>
  <c r="O38"/>
  <c r="L52"/>
  <c r="L53" s="1"/>
  <c r="L55" s="1"/>
  <c r="L57" s="1"/>
  <c r="L59" s="1"/>
  <c r="N41"/>
  <c r="B11"/>
  <c r="B30"/>
  <c r="B33" s="1"/>
  <c r="B38" s="1"/>
  <c r="L62" l="1"/>
  <c r="O39"/>
  <c r="L63" l="1"/>
  <c r="O40"/>
  <c r="M50"/>
  <c r="M51" s="1"/>
  <c r="M52" s="1"/>
  <c r="M53" s="1"/>
  <c r="M55" s="1"/>
  <c r="M57" s="1"/>
  <c r="M59" s="1"/>
  <c r="O41"/>
  <c r="L64" l="1"/>
  <c r="M61"/>
  <c r="M62" s="1"/>
  <c r="M63" s="1"/>
  <c r="M64" s="1"/>
  <c r="P38"/>
  <c r="P39" l="1"/>
  <c r="P40" l="1"/>
  <c r="N50"/>
  <c r="N51" s="1"/>
  <c r="N52" s="1"/>
  <c r="N53" s="1"/>
  <c r="N55" s="1"/>
  <c r="N57" s="1"/>
  <c r="N59" s="1"/>
  <c r="N61" l="1"/>
  <c r="N62" s="1"/>
  <c r="N63" s="1"/>
  <c r="N64" s="1"/>
  <c r="Q38"/>
  <c r="P41"/>
  <c r="Q39" l="1"/>
  <c r="Q40" l="1"/>
  <c r="O50"/>
  <c r="O51" s="1"/>
  <c r="O52" s="1"/>
  <c r="O53" s="1"/>
  <c r="O55" s="1"/>
  <c r="O57" s="1"/>
  <c r="O59" s="1"/>
  <c r="O61" l="1"/>
  <c r="O62" s="1"/>
  <c r="O63" s="1"/>
  <c r="R38"/>
  <c r="R39" s="1"/>
  <c r="Q41"/>
  <c r="R40" l="1"/>
  <c r="P50"/>
  <c r="P51" s="1"/>
  <c r="P52" s="1"/>
  <c r="P53" s="1"/>
  <c r="P55" s="1"/>
  <c r="P57" s="1"/>
  <c r="P59" s="1"/>
  <c r="P61" l="1"/>
  <c r="P62" s="1"/>
  <c r="T40"/>
  <c r="B27"/>
  <c r="R41"/>
  <c r="P63" l="1"/>
  <c r="B24" s="1"/>
  <c r="C30" s="1"/>
  <c r="C33" s="1"/>
  <c r="C38" s="1"/>
  <c r="G66"/>
  <c r="B25" s="1"/>
</calcChain>
</file>

<file path=xl/sharedStrings.xml><?xml version="1.0" encoding="utf-8"?>
<sst xmlns="http://schemas.openxmlformats.org/spreadsheetml/2006/main" count="88" uniqueCount="67">
  <si>
    <t>100% Equity Case</t>
  </si>
  <si>
    <t>Tax rate</t>
  </si>
  <si>
    <t>Discount rate</t>
  </si>
  <si>
    <t>Project Revenue, $MM</t>
  </si>
  <si>
    <t>Escalate</t>
  </si>
  <si>
    <t>Project Oper. Expenses, $MM</t>
  </si>
  <si>
    <t>Project Cost, $MM</t>
  </si>
  <si>
    <t>Terminal Value, $MM</t>
  </si>
  <si>
    <t>Maintenance Capex, $MM/year</t>
  </si>
  <si>
    <t>DD&amp;A, $MM</t>
  </si>
  <si>
    <t>NPV, $MM</t>
  </si>
  <si>
    <t>IRR</t>
  </si>
  <si>
    <t>Payback</t>
  </si>
  <si>
    <t>PWI</t>
  </si>
  <si>
    <t>Debt Leverage Case</t>
  </si>
  <si>
    <t>Loan Amortization Schedule</t>
  </si>
  <si>
    <t>Loan, $MM</t>
  </si>
  <si>
    <t xml:space="preserve">Loan Rate </t>
  </si>
  <si>
    <t>Term Loan, yrs</t>
  </si>
  <si>
    <t xml:space="preserve">Principal </t>
  </si>
  <si>
    <t>Interest/Yr, $MM</t>
  </si>
  <si>
    <t>Yearly Payment, $MM</t>
  </si>
  <si>
    <t>Balance Sheet</t>
  </si>
  <si>
    <t>Base Case</t>
  </si>
  <si>
    <t>Levered Case</t>
  </si>
  <si>
    <t>PP&amp;E</t>
  </si>
  <si>
    <t>Other Assets</t>
  </si>
  <si>
    <t>Net Working Capital</t>
  </si>
  <si>
    <t>Total Assets</t>
  </si>
  <si>
    <t>Long-term Debt</t>
  </si>
  <si>
    <t>Deferred taxes</t>
  </si>
  <si>
    <t>Pension/Retirement Liab</t>
  </si>
  <si>
    <t>Total Liabilities</t>
  </si>
  <si>
    <t>Equity - NAV</t>
  </si>
  <si>
    <t>EBIT</t>
  </si>
  <si>
    <t>TAXES</t>
  </si>
  <si>
    <t>ADD BACK :DD&amp;A</t>
  </si>
  <si>
    <t>Oper cash inflow</t>
  </si>
  <si>
    <t>Cash inflow, w/Terminal value</t>
  </si>
  <si>
    <t>Cash Outflow w/Maint capex</t>
  </si>
  <si>
    <t>NCF</t>
  </si>
  <si>
    <t>NPV</t>
  </si>
  <si>
    <t>PAYBACK</t>
  </si>
  <si>
    <t>EXCEL NPV</t>
  </si>
  <si>
    <t>Beginning Loan balance</t>
  </si>
  <si>
    <t xml:space="preserve">Intrest payment </t>
  </si>
  <si>
    <t>Loan Principal Re-payment</t>
  </si>
  <si>
    <t>Total payments</t>
  </si>
  <si>
    <t>Intrest Payment</t>
  </si>
  <si>
    <t>EBT</t>
  </si>
  <si>
    <t>Add back DD&amp;A</t>
  </si>
  <si>
    <t>Oper Cash inflow</t>
  </si>
  <si>
    <t>Cash inflow w/Terminal Value</t>
  </si>
  <si>
    <t>CasH outflow w/Maint.Capex</t>
  </si>
  <si>
    <t>loan Principal Re-Paymt</t>
  </si>
  <si>
    <t>Excel NPV</t>
  </si>
  <si>
    <t>7 years</t>
  </si>
  <si>
    <t>5 years</t>
  </si>
  <si>
    <t>inflation Rate</t>
  </si>
  <si>
    <t>6 years</t>
  </si>
  <si>
    <t>Time</t>
  </si>
  <si>
    <t>Revenue</t>
  </si>
  <si>
    <t>Operating Expenses</t>
  </si>
  <si>
    <t>Gross Margin</t>
  </si>
  <si>
    <t>Taxes</t>
  </si>
  <si>
    <t>Net Income</t>
  </si>
  <si>
    <t>Operating Expense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</si>
</sst>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&quot;$&quot;#,##0"/>
    <numFmt numFmtId="166" formatCode="&quot;$&quot;#,##0.0_);[Red]\(&quot;$&quot;#,##0.0\)"/>
    <numFmt numFmtId="167" formatCode="&quot;$&quot;#,##0.00"/>
    <numFmt numFmtId="168" formatCode="&quot;$&quot;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2" borderId="0" xfId="0" applyFont="1" applyFill="1" applyBorder="1"/>
    <xf numFmtId="0" fontId="2" fillId="3" borderId="0" xfId="0" applyFont="1" applyFill="1"/>
    <xf numFmtId="6" fontId="2" fillId="4" borderId="0" xfId="0" applyNumberFormat="1" applyFont="1" applyFill="1" applyAlignment="1">
      <alignment horizontal="center"/>
    </xf>
    <xf numFmtId="9" fontId="2" fillId="4" borderId="0" xfId="0" applyNumberFormat="1" applyFont="1" applyFill="1" applyAlignment="1">
      <alignment horizontal="center"/>
    </xf>
    <xf numFmtId="8" fontId="2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0" fontId="0" fillId="5" borderId="0" xfId="0" applyFill="1"/>
    <xf numFmtId="0" fontId="2" fillId="5" borderId="0" xfId="0" applyFont="1" applyFill="1"/>
    <xf numFmtId="8" fontId="0" fillId="5" borderId="0" xfId="0" applyNumberFormat="1" applyFill="1"/>
    <xf numFmtId="9" fontId="0" fillId="5" borderId="0" xfId="0" applyNumberFormat="1" applyFill="1"/>
    <xf numFmtId="167" fontId="0" fillId="5" borderId="0" xfId="0" applyNumberFormat="1" applyFill="1"/>
    <xf numFmtId="0" fontId="0" fillId="6" borderId="0" xfId="0" applyFill="1"/>
    <xf numFmtId="43" fontId="2" fillId="4" borderId="0" xfId="2" applyFont="1" applyFill="1" applyAlignment="1">
      <alignment horizontal="center"/>
    </xf>
    <xf numFmtId="165" fontId="0" fillId="6" borderId="0" xfId="0" applyNumberFormat="1" applyFill="1"/>
    <xf numFmtId="165" fontId="0" fillId="6" borderId="3" xfId="0" applyNumberFormat="1" applyFont="1" applyFill="1" applyBorder="1"/>
    <xf numFmtId="0" fontId="0" fillId="6" borderId="0" xfId="0" applyFont="1" applyFill="1" applyAlignment="1">
      <alignment horizontal="center"/>
    </xf>
    <xf numFmtId="9" fontId="0" fillId="6" borderId="0" xfId="1" applyFont="1" applyFill="1"/>
    <xf numFmtId="0" fontId="2" fillId="6" borderId="0" xfId="0" applyFont="1" applyFill="1" applyAlignment="1">
      <alignment horizontal="center"/>
    </xf>
    <xf numFmtId="9" fontId="2" fillId="6" borderId="0" xfId="1" applyFont="1" applyFill="1"/>
    <xf numFmtId="164" fontId="0" fillId="6" borderId="0" xfId="1" applyNumberFormat="1" applyFont="1" applyFill="1"/>
    <xf numFmtId="165" fontId="0" fillId="6" borderId="0" xfId="0" applyNumberFormat="1" applyFont="1" applyFill="1"/>
    <xf numFmtId="0" fontId="0" fillId="6" borderId="1" xfId="0" applyFont="1" applyFill="1" applyBorder="1" applyAlignment="1">
      <alignment horizontal="center"/>
    </xf>
    <xf numFmtId="165" fontId="0" fillId="6" borderId="2" xfId="0" applyNumberFormat="1" applyFont="1" applyFill="1" applyBorder="1"/>
    <xf numFmtId="0" fontId="0" fillId="6" borderId="1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center"/>
    </xf>
    <xf numFmtId="165" fontId="0" fillId="6" borderId="0" xfId="0" applyNumberFormat="1" applyFont="1" applyFill="1" applyBorder="1"/>
    <xf numFmtId="0" fontId="0" fillId="6" borderId="0" xfId="0" applyFont="1" applyFill="1" applyAlignment="1">
      <alignment horizontal="right"/>
    </xf>
    <xf numFmtId="0" fontId="2" fillId="6" borderId="0" xfId="0" applyFont="1" applyFill="1"/>
    <xf numFmtId="165" fontId="2" fillId="6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9" fontId="0" fillId="6" borderId="0" xfId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0" fontId="0" fillId="6" borderId="3" xfId="0" applyFont="1" applyFill="1" applyBorder="1"/>
    <xf numFmtId="10" fontId="0" fillId="6" borderId="0" xfId="0" applyNumberFormat="1" applyFill="1"/>
    <xf numFmtId="0" fontId="0" fillId="6" borderId="3" xfId="0" applyFill="1" applyBorder="1"/>
    <xf numFmtId="165" fontId="0" fillId="6" borderId="3" xfId="0" applyNumberFormat="1" applyFill="1" applyBorder="1"/>
    <xf numFmtId="167" fontId="0" fillId="6" borderId="3" xfId="0" applyNumberFormat="1" applyFill="1" applyBorder="1"/>
    <xf numFmtId="0" fontId="2" fillId="6" borderId="3" xfId="0" applyFont="1" applyFill="1" applyBorder="1"/>
    <xf numFmtId="165" fontId="0" fillId="6" borderId="0" xfId="0" applyNumberFormat="1" applyFont="1" applyFill="1" applyAlignment="1">
      <alignment horizontal="center"/>
    </xf>
    <xf numFmtId="165" fontId="0" fillId="6" borderId="3" xfId="0" applyNumberFormat="1" applyFont="1" applyFill="1" applyBorder="1" applyAlignment="1">
      <alignment horizontal="center"/>
    </xf>
    <xf numFmtId="8" fontId="0" fillId="6" borderId="0" xfId="0" applyNumberFormat="1" applyFill="1"/>
    <xf numFmtId="167" fontId="0" fillId="6" borderId="0" xfId="0" applyNumberFormat="1" applyFill="1"/>
    <xf numFmtId="168" fontId="0" fillId="6" borderId="3" xfId="0" applyNumberFormat="1" applyFill="1" applyBorder="1"/>
    <xf numFmtId="0" fontId="2" fillId="6" borderId="0" xfId="0" applyFont="1" applyFill="1" applyBorder="1"/>
    <xf numFmtId="166" fontId="4" fillId="6" borderId="3" xfId="0" applyNumberFormat="1" applyFont="1" applyFill="1" applyBorder="1"/>
    <xf numFmtId="166" fontId="0" fillId="6" borderId="3" xfId="0" applyNumberFormat="1" applyFill="1" applyBorder="1"/>
    <xf numFmtId="166" fontId="0" fillId="6" borderId="0" xfId="0" applyNumberFormat="1" applyFill="1"/>
    <xf numFmtId="0" fontId="5" fillId="6" borderId="0" xfId="3" applyFill="1" applyAlignment="1" applyProtection="1"/>
    <xf numFmtId="9" fontId="0" fillId="6" borderId="0" xfId="0" applyNumberFormat="1" applyFill="1"/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9"/>
  <sheetViews>
    <sheetView tabSelected="1" topLeftCell="A7" zoomScaleNormal="100" workbookViewId="0">
      <selection activeCell="E34" sqref="E34"/>
    </sheetView>
  </sheetViews>
  <sheetFormatPr defaultRowHeight="14.4"/>
  <cols>
    <col min="1" max="1" width="29.33203125" customWidth="1"/>
    <col min="2" max="2" width="13.88671875" customWidth="1"/>
    <col min="3" max="3" width="12.109375" customWidth="1"/>
    <col min="6" max="6" width="28.5546875" customWidth="1"/>
    <col min="7" max="7" width="9.88671875" customWidth="1"/>
    <col min="8" max="8" width="10.88671875" customWidth="1"/>
  </cols>
  <sheetData>
    <row r="1" spans="1:32" ht="23.4">
      <c r="A1" s="1" t="s">
        <v>0</v>
      </c>
      <c r="B1" s="2"/>
      <c r="C1" s="2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>
      <c r="A2" s="21" t="s">
        <v>1</v>
      </c>
      <c r="B2" s="22">
        <v>0.35</v>
      </c>
      <c r="C2" s="21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>
      <c r="A3" s="23" t="s">
        <v>58</v>
      </c>
      <c r="B3" s="24">
        <v>0.02</v>
      </c>
      <c r="C3" s="23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>
      <c r="A4" s="21" t="s">
        <v>2</v>
      </c>
      <c r="B4" s="25">
        <v>0.11</v>
      </c>
      <c r="C4" s="21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>
      <c r="A5" s="21" t="s">
        <v>3</v>
      </c>
      <c r="B5" s="26">
        <v>293.8</v>
      </c>
      <c r="C5" s="21" t="s">
        <v>4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>
      <c r="A6" s="21" t="s">
        <v>5</v>
      </c>
      <c r="B6" s="26">
        <v>167.5</v>
      </c>
      <c r="C6" s="21" t="s">
        <v>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>
      <c r="A7" s="21" t="s">
        <v>6</v>
      </c>
      <c r="B7" s="26">
        <v>800</v>
      </c>
      <c r="C7" s="21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>
      <c r="A8" s="27" t="s">
        <v>7</v>
      </c>
      <c r="B8" s="28">
        <v>200</v>
      </c>
      <c r="C8" s="2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>
      <c r="A9" s="29" t="s">
        <v>8</v>
      </c>
      <c r="B9" s="28">
        <v>25</v>
      </c>
      <c r="C9" s="21" t="s">
        <v>4</v>
      </c>
      <c r="D9" s="17"/>
      <c r="E9" s="17"/>
      <c r="F9" s="13" t="s">
        <v>60</v>
      </c>
      <c r="G9" s="13">
        <v>0</v>
      </c>
      <c r="H9" s="13">
        <v>1</v>
      </c>
      <c r="I9" s="13">
        <v>2</v>
      </c>
      <c r="J9" s="13">
        <v>3</v>
      </c>
      <c r="K9" s="13">
        <v>4</v>
      </c>
      <c r="L9" s="13">
        <v>5</v>
      </c>
      <c r="M9" s="13">
        <v>6</v>
      </c>
      <c r="N9" s="13">
        <v>7</v>
      </c>
      <c r="O9" s="13">
        <v>8</v>
      </c>
      <c r="P9" s="13">
        <v>9</v>
      </c>
      <c r="Q9" s="13">
        <v>10</v>
      </c>
      <c r="R9" s="13">
        <v>11</v>
      </c>
      <c r="S9" s="13">
        <v>12</v>
      </c>
      <c r="T9" s="13">
        <v>13</v>
      </c>
      <c r="U9" s="13">
        <v>14</v>
      </c>
      <c r="V9" s="13">
        <v>15</v>
      </c>
      <c r="W9" s="13">
        <v>16</v>
      </c>
      <c r="X9" s="13">
        <v>17</v>
      </c>
      <c r="Y9" s="13">
        <v>18</v>
      </c>
      <c r="Z9" s="13">
        <v>19</v>
      </c>
      <c r="AA9" s="13">
        <v>20</v>
      </c>
      <c r="AB9" s="13">
        <v>21</v>
      </c>
      <c r="AC9" s="13">
        <v>22</v>
      </c>
      <c r="AD9" s="13">
        <v>23</v>
      </c>
      <c r="AE9" s="13">
        <v>24</v>
      </c>
      <c r="AF9" s="13">
        <v>25</v>
      </c>
    </row>
    <row r="10" spans="1:32">
      <c r="A10" s="30" t="s">
        <v>9</v>
      </c>
      <c r="B10" s="31">
        <v>50</v>
      </c>
      <c r="C10" s="32"/>
      <c r="D10" s="17"/>
      <c r="E10" s="17"/>
      <c r="F10" s="33" t="s">
        <v>61</v>
      </c>
      <c r="G10" s="17"/>
      <c r="H10" s="17"/>
      <c r="I10" s="19">
        <f>B5</f>
        <v>293.8</v>
      </c>
      <c r="J10" s="17">
        <f>I10*(1+$B$3)</f>
        <v>299.67600000000004</v>
      </c>
      <c r="K10" s="17">
        <f t="shared" ref="K10:AF10" si="0">J10*(1+$B$3)</f>
        <v>305.66952000000003</v>
      </c>
      <c r="L10" s="17">
        <f t="shared" si="0"/>
        <v>311.78291040000005</v>
      </c>
      <c r="M10" s="17">
        <f t="shared" si="0"/>
        <v>318.01856860800007</v>
      </c>
      <c r="N10" s="17">
        <f t="shared" si="0"/>
        <v>324.37893998016006</v>
      </c>
      <c r="O10" s="17">
        <f t="shared" si="0"/>
        <v>330.86651877976328</v>
      </c>
      <c r="P10" s="17">
        <f t="shared" si="0"/>
        <v>337.48384915535854</v>
      </c>
      <c r="Q10" s="17">
        <f t="shared" si="0"/>
        <v>344.23352613846572</v>
      </c>
      <c r="R10" s="17">
        <f t="shared" si="0"/>
        <v>351.11819666123506</v>
      </c>
      <c r="S10" s="17">
        <f t="shared" si="0"/>
        <v>358.14056059445977</v>
      </c>
      <c r="T10" s="17">
        <f t="shared" si="0"/>
        <v>365.30337180634899</v>
      </c>
      <c r="U10" s="17">
        <f t="shared" si="0"/>
        <v>372.60943924247596</v>
      </c>
      <c r="V10" s="17">
        <f t="shared" si="0"/>
        <v>380.06162802732547</v>
      </c>
      <c r="W10" s="17">
        <f t="shared" si="0"/>
        <v>387.66286058787199</v>
      </c>
      <c r="X10" s="17">
        <f t="shared" si="0"/>
        <v>395.41611779962943</v>
      </c>
      <c r="Y10" s="17">
        <f t="shared" si="0"/>
        <v>403.32444015562203</v>
      </c>
      <c r="Z10" s="17">
        <f t="shared" si="0"/>
        <v>411.39092895873449</v>
      </c>
      <c r="AA10" s="17">
        <f t="shared" si="0"/>
        <v>419.6187475379092</v>
      </c>
      <c r="AB10" s="17">
        <f t="shared" si="0"/>
        <v>428.01112248866741</v>
      </c>
      <c r="AC10" s="17">
        <f t="shared" si="0"/>
        <v>436.57134493844075</v>
      </c>
      <c r="AD10" s="17">
        <f t="shared" si="0"/>
        <v>445.30277183720955</v>
      </c>
      <c r="AE10" s="17">
        <f t="shared" si="0"/>
        <v>454.20882727395377</v>
      </c>
      <c r="AF10" s="17">
        <f t="shared" si="0"/>
        <v>463.29300381943284</v>
      </c>
    </row>
    <row r="11" spans="1:32">
      <c r="A11" s="3" t="s">
        <v>10</v>
      </c>
      <c r="B11" s="7">
        <f>G27</f>
        <v>185.50100979762522</v>
      </c>
      <c r="C11" s="17"/>
      <c r="D11" s="17"/>
      <c r="E11" s="17"/>
      <c r="F11" s="33" t="s">
        <v>62</v>
      </c>
      <c r="G11" s="17"/>
      <c r="H11" s="17"/>
      <c r="I11" s="20">
        <f>B6</f>
        <v>167.5</v>
      </c>
      <c r="J11" s="39">
        <f>I11*(1+$B$3)</f>
        <v>170.85</v>
      </c>
      <c r="K11" s="39">
        <f t="shared" ref="K11:AF11" si="1">J11*(1+$B$3)</f>
        <v>174.267</v>
      </c>
      <c r="L11" s="39">
        <f t="shared" si="1"/>
        <v>177.75234</v>
      </c>
      <c r="M11" s="39">
        <f t="shared" si="1"/>
        <v>181.30738680000002</v>
      </c>
      <c r="N11" s="39">
        <f t="shared" si="1"/>
        <v>184.93353453600002</v>
      </c>
      <c r="O11" s="39">
        <f t="shared" si="1"/>
        <v>188.63220522672003</v>
      </c>
      <c r="P11" s="39">
        <f t="shared" si="1"/>
        <v>192.40484933125444</v>
      </c>
      <c r="Q11" s="39">
        <f t="shared" si="1"/>
        <v>196.25294631787952</v>
      </c>
      <c r="R11" s="39">
        <f t="shared" si="1"/>
        <v>200.17800524423711</v>
      </c>
      <c r="S11" s="39">
        <f t="shared" si="1"/>
        <v>204.18156534912185</v>
      </c>
      <c r="T11" s="39">
        <f t="shared" si="1"/>
        <v>208.26519665610431</v>
      </c>
      <c r="U11" s="39">
        <f t="shared" si="1"/>
        <v>212.4305005892264</v>
      </c>
      <c r="V11" s="39">
        <f t="shared" si="1"/>
        <v>216.67911060101093</v>
      </c>
      <c r="W11" s="39">
        <f t="shared" si="1"/>
        <v>221.01269281303115</v>
      </c>
      <c r="X11" s="39">
        <f t="shared" si="1"/>
        <v>225.43294666929177</v>
      </c>
      <c r="Y11" s="39">
        <f t="shared" si="1"/>
        <v>229.94160560267761</v>
      </c>
      <c r="Z11" s="39">
        <f t="shared" si="1"/>
        <v>234.54043771473115</v>
      </c>
      <c r="AA11" s="39">
        <f t="shared" si="1"/>
        <v>239.23124646902579</v>
      </c>
      <c r="AB11" s="39">
        <f t="shared" si="1"/>
        <v>244.01587139840632</v>
      </c>
      <c r="AC11" s="39">
        <f t="shared" si="1"/>
        <v>248.89618882637444</v>
      </c>
      <c r="AD11" s="39">
        <f t="shared" si="1"/>
        <v>253.87411260290193</v>
      </c>
      <c r="AE11" s="39">
        <f t="shared" si="1"/>
        <v>258.95159485495998</v>
      </c>
      <c r="AF11" s="39">
        <f t="shared" si="1"/>
        <v>264.13062675205919</v>
      </c>
    </row>
    <row r="12" spans="1:32">
      <c r="A12" s="3" t="s">
        <v>11</v>
      </c>
      <c r="B12" s="8">
        <f>G28</f>
        <v>0.13733638001095705</v>
      </c>
      <c r="C12" s="17"/>
      <c r="D12" s="17"/>
      <c r="E12" s="17"/>
      <c r="F12" s="33"/>
      <c r="G12" s="17"/>
      <c r="H12" s="17"/>
      <c r="I12" s="17">
        <f>I10-I11</f>
        <v>126.30000000000001</v>
      </c>
      <c r="J12" s="17">
        <f t="shared" ref="J12:S12" si="2">J10-J11</f>
        <v>128.82600000000005</v>
      </c>
      <c r="K12" s="17">
        <f t="shared" si="2"/>
        <v>131.40252000000004</v>
      </c>
      <c r="L12" s="17">
        <f t="shared" si="2"/>
        <v>134.03057040000004</v>
      </c>
      <c r="M12" s="17">
        <f t="shared" si="2"/>
        <v>136.71118180800005</v>
      </c>
      <c r="N12" s="17">
        <f t="shared" si="2"/>
        <v>139.44540544416003</v>
      </c>
      <c r="O12" s="17">
        <f t="shared" si="2"/>
        <v>142.23431355304325</v>
      </c>
      <c r="P12" s="17">
        <f t="shared" si="2"/>
        <v>145.0789998241041</v>
      </c>
      <c r="Q12" s="17">
        <f t="shared" si="2"/>
        <v>147.9805798205862</v>
      </c>
      <c r="R12" s="17">
        <f t="shared" si="2"/>
        <v>150.94019141699795</v>
      </c>
      <c r="S12" s="17">
        <f t="shared" si="2"/>
        <v>153.95899524533792</v>
      </c>
      <c r="T12" s="17">
        <f t="shared" ref="T12" si="3">T10-T11</f>
        <v>157.03817515024468</v>
      </c>
      <c r="U12" s="17">
        <f t="shared" ref="U12" si="4">U10-U11</f>
        <v>160.17893865324956</v>
      </c>
      <c r="V12" s="17">
        <f t="shared" ref="V12" si="5">V10-V11</f>
        <v>163.38251742631454</v>
      </c>
      <c r="W12" s="17">
        <f t="shared" ref="W12" si="6">W10-W11</f>
        <v>166.65016777484084</v>
      </c>
      <c r="X12" s="17">
        <f t="shared" ref="X12" si="7">X10-X11</f>
        <v>169.98317113033767</v>
      </c>
      <c r="Y12" s="17">
        <f t="shared" ref="Y12" si="8">Y10-Y11</f>
        <v>173.38283455294442</v>
      </c>
      <c r="Z12" s="17">
        <f t="shared" ref="Z12" si="9">Z10-Z11</f>
        <v>176.85049124400334</v>
      </c>
      <c r="AA12" s="17">
        <f t="shared" ref="AA12" si="10">AA10-AA11</f>
        <v>180.38750106888341</v>
      </c>
      <c r="AB12" s="17">
        <f t="shared" ref="AB12" si="11">AB10-AB11</f>
        <v>183.99525109026109</v>
      </c>
      <c r="AC12" s="17">
        <f t="shared" ref="AC12" si="12">AC10-AC11</f>
        <v>187.6751561120663</v>
      </c>
      <c r="AD12" s="17">
        <f t="shared" ref="AD12" si="13">AD10-AD11</f>
        <v>191.42865923430762</v>
      </c>
      <c r="AE12" s="17">
        <f t="shared" ref="AE12" si="14">AE10-AE11</f>
        <v>195.25723241899379</v>
      </c>
      <c r="AF12" s="17">
        <f t="shared" ref="AF12" si="15">AF10-AF11</f>
        <v>199.16237706737365</v>
      </c>
    </row>
    <row r="13" spans="1:32">
      <c r="A13" s="3" t="s">
        <v>12</v>
      </c>
      <c r="B13" s="18">
        <f>G29</f>
        <v>17</v>
      </c>
      <c r="C13" s="17"/>
      <c r="D13" s="17"/>
      <c r="E13" s="17"/>
      <c r="F13" s="33" t="s">
        <v>63</v>
      </c>
      <c r="G13" s="17"/>
      <c r="H13" s="17"/>
      <c r="I13" s="40">
        <f>I12/I10</f>
        <v>0.42988427501701842</v>
      </c>
      <c r="J13" s="40">
        <f t="shared" ref="J13:S13" si="16">J12/J10</f>
        <v>0.42988427501701848</v>
      </c>
      <c r="K13" s="40">
        <f t="shared" si="16"/>
        <v>0.42988427501701848</v>
      </c>
      <c r="L13" s="40">
        <f t="shared" si="16"/>
        <v>0.42988427501701848</v>
      </c>
      <c r="M13" s="40">
        <f t="shared" si="16"/>
        <v>0.42988427501701842</v>
      </c>
      <c r="N13" s="40">
        <f t="shared" si="16"/>
        <v>0.42988427501701842</v>
      </c>
      <c r="O13" s="40">
        <f t="shared" si="16"/>
        <v>0.42988427501701842</v>
      </c>
      <c r="P13" s="40">
        <f t="shared" si="16"/>
        <v>0.42988427501701837</v>
      </c>
      <c r="Q13" s="40">
        <f t="shared" si="16"/>
        <v>0.42988427501701842</v>
      </c>
      <c r="R13" s="40">
        <f t="shared" si="16"/>
        <v>0.42988427501701848</v>
      </c>
      <c r="S13" s="40">
        <f t="shared" si="16"/>
        <v>0.42988427501701848</v>
      </c>
      <c r="T13" s="40">
        <f t="shared" ref="T13" si="17">T12/T10</f>
        <v>0.42988427501701848</v>
      </c>
      <c r="U13" s="40">
        <f t="shared" ref="U13" si="18">U12/U10</f>
        <v>0.42988427501701842</v>
      </c>
      <c r="V13" s="40">
        <f t="shared" ref="V13" si="19">V12/V10</f>
        <v>0.42988427501701842</v>
      </c>
      <c r="W13" s="40">
        <f t="shared" ref="W13" si="20">W12/W10</f>
        <v>0.42988427501701842</v>
      </c>
      <c r="X13" s="40">
        <f t="shared" ref="X13" si="21">X12/X10</f>
        <v>0.42988427501701848</v>
      </c>
      <c r="Y13" s="40">
        <f t="shared" ref="Y13" si="22">Y12/Y10</f>
        <v>0.42988427501701842</v>
      </c>
      <c r="Z13" s="40">
        <f t="shared" ref="Z13" si="23">Z12/Z10</f>
        <v>0.42988427501701848</v>
      </c>
      <c r="AA13" s="40">
        <f t="shared" ref="AA13" si="24">AA12/AA10</f>
        <v>0.42988427501701848</v>
      </c>
      <c r="AB13" s="40">
        <f t="shared" ref="AB13" si="25">AB12/AB10</f>
        <v>0.42988427501701848</v>
      </c>
      <c r="AC13" s="40">
        <f t="shared" ref="AC13" si="26">AC12/AC10</f>
        <v>0.42988427501701848</v>
      </c>
      <c r="AD13" s="40">
        <f t="shared" ref="AD13" si="27">AD12/AD10</f>
        <v>0.42988427501701848</v>
      </c>
      <c r="AE13" s="40">
        <f t="shared" ref="AE13" si="28">AE12/AE10</f>
        <v>0.42988427501701848</v>
      </c>
      <c r="AF13" s="40">
        <f t="shared" ref="AF13" si="29">AF12/AF10</f>
        <v>0.42988427501701848</v>
      </c>
    </row>
    <row r="14" spans="1:32">
      <c r="A14" s="3" t="s">
        <v>13</v>
      </c>
      <c r="B14" s="7">
        <f>G30</f>
        <v>1.0080785006469397</v>
      </c>
      <c r="C14" s="17"/>
      <c r="D14" s="17"/>
      <c r="E14" s="17"/>
      <c r="F14" s="33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23.4">
      <c r="A15" s="1" t="s">
        <v>14</v>
      </c>
      <c r="B15" s="1"/>
      <c r="C15" s="17"/>
      <c r="D15" s="17"/>
      <c r="E15" s="17"/>
      <c r="F15" s="33" t="s">
        <v>34</v>
      </c>
      <c r="G15" s="17"/>
      <c r="H15" s="17"/>
      <c r="I15" s="17">
        <f>I12</f>
        <v>126.30000000000001</v>
      </c>
      <c r="J15" s="17">
        <f t="shared" ref="J15:AF15" si="30">J12</f>
        <v>128.82600000000005</v>
      </c>
      <c r="K15" s="17">
        <f t="shared" si="30"/>
        <v>131.40252000000004</v>
      </c>
      <c r="L15" s="17">
        <f t="shared" si="30"/>
        <v>134.03057040000004</v>
      </c>
      <c r="M15" s="17">
        <f t="shared" si="30"/>
        <v>136.71118180800005</v>
      </c>
      <c r="N15" s="17">
        <f t="shared" si="30"/>
        <v>139.44540544416003</v>
      </c>
      <c r="O15" s="17">
        <f t="shared" si="30"/>
        <v>142.23431355304325</v>
      </c>
      <c r="P15" s="17">
        <f t="shared" si="30"/>
        <v>145.0789998241041</v>
      </c>
      <c r="Q15" s="17">
        <f t="shared" si="30"/>
        <v>147.9805798205862</v>
      </c>
      <c r="R15" s="17">
        <f t="shared" si="30"/>
        <v>150.94019141699795</v>
      </c>
      <c r="S15" s="17">
        <f t="shared" si="30"/>
        <v>153.95899524533792</v>
      </c>
      <c r="T15" s="17">
        <f t="shared" si="30"/>
        <v>157.03817515024468</v>
      </c>
      <c r="U15" s="17">
        <f t="shared" si="30"/>
        <v>160.17893865324956</v>
      </c>
      <c r="V15" s="17">
        <f t="shared" si="30"/>
        <v>163.38251742631454</v>
      </c>
      <c r="W15" s="17">
        <f t="shared" si="30"/>
        <v>166.65016777484084</v>
      </c>
      <c r="X15" s="17">
        <f t="shared" si="30"/>
        <v>169.98317113033767</v>
      </c>
      <c r="Y15" s="17">
        <f t="shared" si="30"/>
        <v>173.38283455294442</v>
      </c>
      <c r="Z15" s="17">
        <f t="shared" si="30"/>
        <v>176.85049124400334</v>
      </c>
      <c r="AA15" s="17">
        <f t="shared" si="30"/>
        <v>180.38750106888341</v>
      </c>
      <c r="AB15" s="17">
        <f t="shared" si="30"/>
        <v>183.99525109026109</v>
      </c>
      <c r="AC15" s="17">
        <f t="shared" si="30"/>
        <v>187.6751561120663</v>
      </c>
      <c r="AD15" s="17">
        <f t="shared" si="30"/>
        <v>191.42865923430762</v>
      </c>
      <c r="AE15" s="17">
        <f t="shared" si="30"/>
        <v>195.25723241899379</v>
      </c>
      <c r="AF15" s="17">
        <f t="shared" si="30"/>
        <v>199.16237706737365</v>
      </c>
    </row>
    <row r="16" spans="1:32">
      <c r="A16" s="23" t="s">
        <v>15</v>
      </c>
      <c r="B16" s="23"/>
      <c r="C16" s="17"/>
      <c r="D16" s="17"/>
      <c r="E16" s="17"/>
      <c r="F16" s="33" t="s">
        <v>64</v>
      </c>
      <c r="G16" s="17"/>
      <c r="H16" s="17"/>
      <c r="I16" s="41">
        <f>I15*$B$2</f>
        <v>44.204999999999998</v>
      </c>
      <c r="J16" s="41">
        <f t="shared" ref="J16:S16" si="31">J15*$B$2</f>
        <v>45.089100000000016</v>
      </c>
      <c r="K16" s="41">
        <f t="shared" si="31"/>
        <v>45.990882000000013</v>
      </c>
      <c r="L16" s="41">
        <f t="shared" si="31"/>
        <v>46.910699640000011</v>
      </c>
      <c r="M16" s="41">
        <f t="shared" si="31"/>
        <v>47.848913632800013</v>
      </c>
      <c r="N16" s="41">
        <f t="shared" si="31"/>
        <v>48.805891905456008</v>
      </c>
      <c r="O16" s="41">
        <f t="shared" si="31"/>
        <v>49.782009743565133</v>
      </c>
      <c r="P16" s="41">
        <f t="shared" si="31"/>
        <v>50.777649938436433</v>
      </c>
      <c r="Q16" s="41">
        <f t="shared" si="31"/>
        <v>51.793202937205166</v>
      </c>
      <c r="R16" s="41">
        <f t="shared" si="31"/>
        <v>52.829066995949276</v>
      </c>
      <c r="S16" s="41">
        <f t="shared" si="31"/>
        <v>53.885648335868268</v>
      </c>
      <c r="T16" s="41">
        <f t="shared" ref="T16" si="32">T15*$B$2</f>
        <v>54.963361302585639</v>
      </c>
      <c r="U16" s="41">
        <f t="shared" ref="U16" si="33">U15*$B$2</f>
        <v>56.06262852863734</v>
      </c>
      <c r="V16" s="41">
        <f t="shared" ref="V16" si="34">V15*$B$2</f>
        <v>57.183881099210083</v>
      </c>
      <c r="W16" s="41">
        <f t="shared" ref="W16" si="35">W15*$B$2</f>
        <v>58.327558721194286</v>
      </c>
      <c r="X16" s="41">
        <f t="shared" ref="X16" si="36">X15*$B$2</f>
        <v>59.49410989561818</v>
      </c>
      <c r="Y16" s="41">
        <f t="shared" ref="Y16" si="37">Y15*$B$2</f>
        <v>60.683992093530541</v>
      </c>
      <c r="Z16" s="41">
        <f t="shared" ref="Z16" si="38">Z15*$B$2</f>
        <v>61.897671935401164</v>
      </c>
      <c r="AA16" s="41">
        <f t="shared" ref="AA16" si="39">AA15*$B$2</f>
        <v>63.135625374109189</v>
      </c>
      <c r="AB16" s="41">
        <f t="shared" ref="AB16" si="40">AB15*$B$2</f>
        <v>64.398337881591374</v>
      </c>
      <c r="AC16" s="41">
        <f t="shared" ref="AC16" si="41">AC15*$B$2</f>
        <v>65.686304639223209</v>
      </c>
      <c r="AD16" s="41">
        <f t="shared" ref="AD16" si="42">AD15*$B$2</f>
        <v>67.000030732007659</v>
      </c>
      <c r="AE16" s="41">
        <f t="shared" ref="AE16" si="43">AE15*$B$2</f>
        <v>68.34003134664782</v>
      </c>
      <c r="AF16" s="41">
        <f t="shared" ref="AF16" si="44">AF15*$B$2</f>
        <v>69.706831973580776</v>
      </c>
    </row>
    <row r="17" spans="1:32">
      <c r="A17" s="23" t="s">
        <v>16</v>
      </c>
      <c r="B17" s="34">
        <v>600</v>
      </c>
      <c r="C17" s="17"/>
      <c r="D17" s="17"/>
      <c r="E17" s="17"/>
      <c r="F17" s="33" t="s">
        <v>65</v>
      </c>
      <c r="G17" s="17"/>
      <c r="H17" s="17"/>
      <c r="I17" s="17">
        <f>I15-I16</f>
        <v>82.095000000000013</v>
      </c>
      <c r="J17" s="17">
        <f t="shared" ref="J17:S17" si="45">J15-J16</f>
        <v>83.736900000000034</v>
      </c>
      <c r="K17" s="17">
        <f t="shared" si="45"/>
        <v>85.411638000000025</v>
      </c>
      <c r="L17" s="17">
        <f t="shared" si="45"/>
        <v>87.119870760000026</v>
      </c>
      <c r="M17" s="17">
        <f t="shared" si="45"/>
        <v>88.862268175200029</v>
      </c>
      <c r="N17" s="17">
        <f t="shared" si="45"/>
        <v>90.639513538704023</v>
      </c>
      <c r="O17" s="17">
        <f t="shared" si="45"/>
        <v>92.45230380947811</v>
      </c>
      <c r="P17" s="17">
        <f t="shared" si="45"/>
        <v>94.301349885667662</v>
      </c>
      <c r="Q17" s="17">
        <f t="shared" si="45"/>
        <v>96.187376883381035</v>
      </c>
      <c r="R17" s="17">
        <f t="shared" si="45"/>
        <v>98.111124421048672</v>
      </c>
      <c r="S17" s="17">
        <f t="shared" si="45"/>
        <v>100.07334690946965</v>
      </c>
      <c r="T17" s="17">
        <f t="shared" ref="T17" si="46">T15-T16</f>
        <v>102.07481384765904</v>
      </c>
      <c r="U17" s="17">
        <f t="shared" ref="U17" si="47">U15-U16</f>
        <v>104.11631012461223</v>
      </c>
      <c r="V17" s="17">
        <f t="shared" ref="V17" si="48">V15-V16</f>
        <v>106.19863632710445</v>
      </c>
      <c r="W17" s="17">
        <f t="shared" ref="W17" si="49">W15-W16</f>
        <v>108.32260905364654</v>
      </c>
      <c r="X17" s="17">
        <f t="shared" ref="X17" si="50">X15-X16</f>
        <v>110.48906123471949</v>
      </c>
      <c r="Y17" s="17">
        <f t="shared" ref="Y17" si="51">Y15-Y16</f>
        <v>112.69884245941387</v>
      </c>
      <c r="Z17" s="17">
        <f t="shared" ref="Z17" si="52">Z15-Z16</f>
        <v>114.95281930860217</v>
      </c>
      <c r="AA17" s="17">
        <f t="shared" ref="AA17" si="53">AA15-AA16</f>
        <v>117.25187569477421</v>
      </c>
      <c r="AB17" s="17">
        <f t="shared" ref="AB17" si="54">AB15-AB16</f>
        <v>119.59691320866972</v>
      </c>
      <c r="AC17" s="17">
        <f t="shared" ref="AC17" si="55">AC15-AC16</f>
        <v>121.98885147284309</v>
      </c>
      <c r="AD17" s="17">
        <f t="shared" ref="AD17" si="56">AD15-AD16</f>
        <v>124.42862850229996</v>
      </c>
      <c r="AE17" s="17">
        <f t="shared" ref="AE17" si="57">AE15-AE16</f>
        <v>126.91720107234597</v>
      </c>
      <c r="AF17" s="17">
        <f t="shared" ref="AF17" si="58">AF15-AF16</f>
        <v>129.45554509379286</v>
      </c>
    </row>
    <row r="18" spans="1:32">
      <c r="A18" s="35" t="s">
        <v>17</v>
      </c>
      <c r="B18" s="36">
        <v>0.06</v>
      </c>
      <c r="C18" s="17"/>
      <c r="D18" s="17"/>
      <c r="E18" s="17"/>
      <c r="F18" s="33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35" t="s">
        <v>18</v>
      </c>
      <c r="B19" s="35">
        <v>10</v>
      </c>
      <c r="C19" s="17"/>
      <c r="D19" s="17"/>
      <c r="E19" s="17"/>
      <c r="F19" s="33" t="s">
        <v>65</v>
      </c>
      <c r="G19" s="17"/>
      <c r="H19" s="17"/>
      <c r="I19" s="17">
        <f>I17</f>
        <v>82.095000000000013</v>
      </c>
      <c r="J19" s="17">
        <f t="shared" ref="J19:AF19" si="59">J17</f>
        <v>83.736900000000034</v>
      </c>
      <c r="K19" s="17">
        <f t="shared" si="59"/>
        <v>85.411638000000025</v>
      </c>
      <c r="L19" s="17">
        <f t="shared" si="59"/>
        <v>87.119870760000026</v>
      </c>
      <c r="M19" s="17">
        <f t="shared" si="59"/>
        <v>88.862268175200029</v>
      </c>
      <c r="N19" s="17">
        <f t="shared" si="59"/>
        <v>90.639513538704023</v>
      </c>
      <c r="O19" s="17">
        <f t="shared" si="59"/>
        <v>92.45230380947811</v>
      </c>
      <c r="P19" s="17">
        <f t="shared" si="59"/>
        <v>94.301349885667662</v>
      </c>
      <c r="Q19" s="17">
        <f t="shared" si="59"/>
        <v>96.187376883381035</v>
      </c>
      <c r="R19" s="17">
        <f t="shared" si="59"/>
        <v>98.111124421048672</v>
      </c>
      <c r="S19" s="17">
        <f t="shared" si="59"/>
        <v>100.07334690946965</v>
      </c>
      <c r="T19" s="17">
        <f t="shared" si="59"/>
        <v>102.07481384765904</v>
      </c>
      <c r="U19" s="17">
        <f t="shared" si="59"/>
        <v>104.11631012461223</v>
      </c>
      <c r="V19" s="17">
        <f t="shared" si="59"/>
        <v>106.19863632710445</v>
      </c>
      <c r="W19" s="17">
        <f t="shared" si="59"/>
        <v>108.32260905364654</v>
      </c>
      <c r="X19" s="17">
        <f t="shared" si="59"/>
        <v>110.48906123471949</v>
      </c>
      <c r="Y19" s="17">
        <f t="shared" si="59"/>
        <v>112.69884245941387</v>
      </c>
      <c r="Z19" s="17">
        <f t="shared" si="59"/>
        <v>114.95281930860217</v>
      </c>
      <c r="AA19" s="17">
        <f t="shared" si="59"/>
        <v>117.25187569477421</v>
      </c>
      <c r="AB19" s="17">
        <f t="shared" si="59"/>
        <v>119.59691320866972</v>
      </c>
      <c r="AC19" s="17">
        <f t="shared" si="59"/>
        <v>121.98885147284309</v>
      </c>
      <c r="AD19" s="17">
        <f t="shared" si="59"/>
        <v>124.42862850229996</v>
      </c>
      <c r="AE19" s="17">
        <f t="shared" si="59"/>
        <v>126.91720107234597</v>
      </c>
      <c r="AF19" s="17">
        <f t="shared" si="59"/>
        <v>129.45554509379286</v>
      </c>
    </row>
    <row r="20" spans="1:32">
      <c r="A20" s="35" t="s">
        <v>19</v>
      </c>
      <c r="B20" s="37">
        <v>600</v>
      </c>
      <c r="C20" s="17"/>
      <c r="D20" s="17"/>
      <c r="E20" s="17"/>
      <c r="F20" s="33" t="s">
        <v>36</v>
      </c>
      <c r="G20" s="17"/>
      <c r="H20" s="17"/>
      <c r="I20" s="42">
        <f>B10</f>
        <v>50</v>
      </c>
      <c r="J20" s="43">
        <f>I20*(1+$B$3)</f>
        <v>51</v>
      </c>
      <c r="K20" s="43">
        <f t="shared" ref="K20:AF20" si="60">J20*(1+$B$3)</f>
        <v>52.02</v>
      </c>
      <c r="L20" s="43">
        <f t="shared" si="60"/>
        <v>53.060400000000001</v>
      </c>
      <c r="M20" s="43">
        <f t="shared" si="60"/>
        <v>54.121608000000002</v>
      </c>
      <c r="N20" s="43">
        <f t="shared" si="60"/>
        <v>55.204040160000005</v>
      </c>
      <c r="O20" s="43">
        <f t="shared" si="60"/>
        <v>56.308120963200004</v>
      </c>
      <c r="P20" s="43">
        <f t="shared" si="60"/>
        <v>57.434283382464002</v>
      </c>
      <c r="Q20" s="43">
        <f t="shared" si="60"/>
        <v>58.582969050113284</v>
      </c>
      <c r="R20" s="43">
        <f t="shared" si="60"/>
        <v>59.754628431115549</v>
      </c>
      <c r="S20" s="43">
        <f t="shared" si="60"/>
        <v>60.949720999737863</v>
      </c>
      <c r="T20" s="43">
        <f t="shared" si="60"/>
        <v>62.168715419732621</v>
      </c>
      <c r="U20" s="43">
        <f t="shared" si="60"/>
        <v>63.412089728127278</v>
      </c>
      <c r="V20" s="43">
        <f t="shared" si="60"/>
        <v>64.680331522689826</v>
      </c>
      <c r="W20" s="43">
        <f t="shared" si="60"/>
        <v>65.973938153143621</v>
      </c>
      <c r="X20" s="43">
        <f t="shared" si="60"/>
        <v>67.293416916206496</v>
      </c>
      <c r="Y20" s="43">
        <f t="shared" si="60"/>
        <v>68.639285254530634</v>
      </c>
      <c r="Z20" s="43">
        <f t="shared" si="60"/>
        <v>70.012070959621255</v>
      </c>
      <c r="AA20" s="43">
        <f t="shared" si="60"/>
        <v>71.412312378813681</v>
      </c>
      <c r="AB20" s="43">
        <f t="shared" si="60"/>
        <v>72.840558626389949</v>
      </c>
      <c r="AC20" s="43">
        <f t="shared" si="60"/>
        <v>74.297369798917757</v>
      </c>
      <c r="AD20" s="43">
        <f t="shared" si="60"/>
        <v>75.783317194896114</v>
      </c>
      <c r="AE20" s="43">
        <f t="shared" si="60"/>
        <v>77.298983538794033</v>
      </c>
      <c r="AF20" s="43">
        <f t="shared" si="60"/>
        <v>78.844963209569912</v>
      </c>
    </row>
    <row r="21" spans="1:32">
      <c r="A21" s="35" t="s">
        <v>20</v>
      </c>
      <c r="B21" s="37">
        <f>B18*B20</f>
        <v>36</v>
      </c>
      <c r="C21" s="17"/>
      <c r="D21" s="17"/>
      <c r="E21" s="17"/>
      <c r="F21" s="33" t="s">
        <v>37</v>
      </c>
      <c r="G21" s="17"/>
      <c r="H21" s="17"/>
      <c r="I21" s="19">
        <f>I19+I20</f>
        <v>132.09500000000003</v>
      </c>
      <c r="J21" s="19">
        <f t="shared" ref="J21:S21" si="61">J19+J20</f>
        <v>134.73690000000005</v>
      </c>
      <c r="K21" s="19">
        <f t="shared" si="61"/>
        <v>137.43163800000002</v>
      </c>
      <c r="L21" s="19">
        <f t="shared" si="61"/>
        <v>140.18027076000004</v>
      </c>
      <c r="M21" s="19">
        <f t="shared" si="61"/>
        <v>142.98387617520004</v>
      </c>
      <c r="N21" s="19">
        <f t="shared" si="61"/>
        <v>145.84355369870403</v>
      </c>
      <c r="O21" s="19">
        <f t="shared" si="61"/>
        <v>148.76042477267811</v>
      </c>
      <c r="P21" s="19">
        <f t="shared" si="61"/>
        <v>151.73563326813166</v>
      </c>
      <c r="Q21" s="19">
        <f t="shared" si="61"/>
        <v>154.77034593349433</v>
      </c>
      <c r="R21" s="19">
        <f t="shared" si="61"/>
        <v>157.86575285216423</v>
      </c>
      <c r="S21" s="19">
        <f t="shared" si="61"/>
        <v>161.0230679092075</v>
      </c>
      <c r="T21" s="19">
        <f t="shared" ref="T21" si="62">T19+T20</f>
        <v>164.24352926739166</v>
      </c>
      <c r="U21" s="19">
        <f t="shared" ref="U21" si="63">U19+U20</f>
        <v>167.52839985273951</v>
      </c>
      <c r="V21" s="19">
        <f t="shared" ref="V21" si="64">V19+V20</f>
        <v>170.87896784979426</v>
      </c>
      <c r="W21" s="19">
        <f t="shared" ref="W21" si="65">W19+W20</f>
        <v>174.29654720679017</v>
      </c>
      <c r="X21" s="19">
        <f t="shared" ref="X21" si="66">X19+X20</f>
        <v>177.78247815092598</v>
      </c>
      <c r="Y21" s="19">
        <f t="shared" ref="Y21" si="67">Y19+Y20</f>
        <v>181.33812771394452</v>
      </c>
      <c r="Z21" s="19">
        <f t="shared" ref="Z21" si="68">Z19+Z20</f>
        <v>184.96489026822343</v>
      </c>
      <c r="AA21" s="19">
        <f t="shared" ref="AA21" si="69">AA19+AA20</f>
        <v>188.66418807358789</v>
      </c>
      <c r="AB21" s="19">
        <f t="shared" ref="AB21" si="70">AB19+AB20</f>
        <v>192.43747183505968</v>
      </c>
      <c r="AC21" s="19">
        <f t="shared" ref="AC21" si="71">AC19+AC20</f>
        <v>196.28622127176084</v>
      </c>
      <c r="AD21" s="19">
        <f t="shared" ref="AD21" si="72">AD19+AD20</f>
        <v>200.21194569719609</v>
      </c>
      <c r="AE21" s="19">
        <f t="shared" ref="AE21" si="73">AE19+AE20</f>
        <v>204.21618461114002</v>
      </c>
      <c r="AF21" s="19">
        <f t="shared" ref="AF21" si="74">AF19+AF20</f>
        <v>208.30050830336279</v>
      </c>
    </row>
    <row r="22" spans="1:32">
      <c r="A22" s="35" t="s">
        <v>21</v>
      </c>
      <c r="B22" s="38">
        <f>-PMT(B18,10,B17)</f>
        <v>81.52077493223031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>
      <c r="A23" s="17"/>
      <c r="B23" s="17"/>
      <c r="C23" s="17"/>
      <c r="D23" s="17"/>
      <c r="E23" s="17"/>
      <c r="F23" s="33" t="s">
        <v>38</v>
      </c>
      <c r="G23" s="17"/>
      <c r="H23" s="17"/>
      <c r="I23" s="19">
        <f>I21</f>
        <v>132.09500000000003</v>
      </c>
      <c r="J23" s="19">
        <f t="shared" ref="J23:AE23" si="75">J21</f>
        <v>134.73690000000005</v>
      </c>
      <c r="K23" s="19">
        <f t="shared" si="75"/>
        <v>137.43163800000002</v>
      </c>
      <c r="L23" s="19">
        <f t="shared" si="75"/>
        <v>140.18027076000004</v>
      </c>
      <c r="M23" s="19">
        <f t="shared" si="75"/>
        <v>142.98387617520004</v>
      </c>
      <c r="N23" s="19">
        <f t="shared" si="75"/>
        <v>145.84355369870403</v>
      </c>
      <c r="O23" s="19">
        <f t="shared" si="75"/>
        <v>148.76042477267811</v>
      </c>
      <c r="P23" s="19">
        <f t="shared" si="75"/>
        <v>151.73563326813166</v>
      </c>
      <c r="Q23" s="19">
        <f t="shared" si="75"/>
        <v>154.77034593349433</v>
      </c>
      <c r="R23" s="19">
        <f t="shared" si="75"/>
        <v>157.86575285216423</v>
      </c>
      <c r="S23" s="19">
        <f t="shared" si="75"/>
        <v>161.0230679092075</v>
      </c>
      <c r="T23" s="19">
        <f t="shared" si="75"/>
        <v>164.24352926739166</v>
      </c>
      <c r="U23" s="19">
        <f t="shared" si="75"/>
        <v>167.52839985273951</v>
      </c>
      <c r="V23" s="19">
        <f t="shared" si="75"/>
        <v>170.87896784979426</v>
      </c>
      <c r="W23" s="19">
        <f t="shared" si="75"/>
        <v>174.29654720679017</v>
      </c>
      <c r="X23" s="19">
        <f t="shared" si="75"/>
        <v>177.78247815092598</v>
      </c>
      <c r="Y23" s="19">
        <f t="shared" si="75"/>
        <v>181.33812771394452</v>
      </c>
      <c r="Z23" s="19">
        <f t="shared" si="75"/>
        <v>184.96489026822343</v>
      </c>
      <c r="AA23" s="19">
        <f t="shared" si="75"/>
        <v>188.66418807358789</v>
      </c>
      <c r="AB23" s="19">
        <f t="shared" si="75"/>
        <v>192.43747183505968</v>
      </c>
      <c r="AC23" s="19">
        <f t="shared" si="75"/>
        <v>196.28622127176084</v>
      </c>
      <c r="AD23" s="19">
        <f t="shared" si="75"/>
        <v>200.21194569719609</v>
      </c>
      <c r="AE23" s="19">
        <f t="shared" si="75"/>
        <v>204.21618461114002</v>
      </c>
      <c r="AF23" s="19">
        <f>AF21+B8</f>
        <v>408.30050830336279</v>
      </c>
    </row>
    <row r="24" spans="1:32">
      <c r="A24" s="3" t="s">
        <v>10</v>
      </c>
      <c r="B24" s="7">
        <f>G65</f>
        <v>1831.3420935212098</v>
      </c>
      <c r="C24" s="17"/>
      <c r="D24" s="17"/>
      <c r="E24" s="17"/>
      <c r="F24" s="44" t="s">
        <v>39</v>
      </c>
      <c r="G24" s="42">
        <f>-B7/2</f>
        <v>-400</v>
      </c>
      <c r="H24" s="42">
        <f>-B7/2</f>
        <v>-400</v>
      </c>
      <c r="I24" s="42">
        <f>-B9</f>
        <v>-25</v>
      </c>
      <c r="J24" s="41">
        <f>I24*(1+$B$3)</f>
        <v>-25.5</v>
      </c>
      <c r="K24" s="41">
        <f t="shared" ref="K24:AF24" si="76">J24*(1+$B$3)</f>
        <v>-26.01</v>
      </c>
      <c r="L24" s="41">
        <f t="shared" si="76"/>
        <v>-26.530200000000001</v>
      </c>
      <c r="M24" s="41">
        <f t="shared" si="76"/>
        <v>-27.060804000000001</v>
      </c>
      <c r="N24" s="41">
        <f t="shared" si="76"/>
        <v>-27.602020080000003</v>
      </c>
      <c r="O24" s="41">
        <f t="shared" si="76"/>
        <v>-28.154060481600002</v>
      </c>
      <c r="P24" s="41">
        <f t="shared" si="76"/>
        <v>-28.717141691232001</v>
      </c>
      <c r="Q24" s="41">
        <f t="shared" si="76"/>
        <v>-29.291484525056642</v>
      </c>
      <c r="R24" s="41">
        <f t="shared" si="76"/>
        <v>-29.877314215557774</v>
      </c>
      <c r="S24" s="41">
        <f t="shared" si="76"/>
        <v>-30.474860499868932</v>
      </c>
      <c r="T24" s="41">
        <f t="shared" si="76"/>
        <v>-31.08435770986631</v>
      </c>
      <c r="U24" s="41">
        <f t="shared" si="76"/>
        <v>-31.706044864063639</v>
      </c>
      <c r="V24" s="41">
        <f t="shared" si="76"/>
        <v>-32.340165761344913</v>
      </c>
      <c r="W24" s="41">
        <f t="shared" si="76"/>
        <v>-32.98696907657181</v>
      </c>
      <c r="X24" s="41">
        <f t="shared" si="76"/>
        <v>-33.646708458103248</v>
      </c>
      <c r="Y24" s="41">
        <f t="shared" si="76"/>
        <v>-34.319642627265317</v>
      </c>
      <c r="Z24" s="41">
        <f t="shared" si="76"/>
        <v>-35.006035479810627</v>
      </c>
      <c r="AA24" s="41">
        <f t="shared" si="76"/>
        <v>-35.70615618940684</v>
      </c>
      <c r="AB24" s="41">
        <f t="shared" si="76"/>
        <v>-36.420279313194975</v>
      </c>
      <c r="AC24" s="41">
        <f t="shared" si="76"/>
        <v>-37.148684899458878</v>
      </c>
      <c r="AD24" s="41">
        <f t="shared" si="76"/>
        <v>-37.891658597448057</v>
      </c>
      <c r="AE24" s="41">
        <f t="shared" si="76"/>
        <v>-38.649491769397017</v>
      </c>
      <c r="AF24" s="41">
        <f t="shared" si="76"/>
        <v>-39.422481604784956</v>
      </c>
    </row>
    <row r="25" spans="1:32">
      <c r="A25" s="3" t="s">
        <v>11</v>
      </c>
      <c r="B25" s="8">
        <f>G66</f>
        <v>0.40152614571293443</v>
      </c>
      <c r="C25" s="17"/>
      <c r="D25" s="17"/>
      <c r="E25" s="17"/>
      <c r="F25" s="33" t="s">
        <v>40</v>
      </c>
      <c r="G25" s="19">
        <f>G24+G23</f>
        <v>-400</v>
      </c>
      <c r="H25" s="19">
        <f t="shared" ref="H25:AF25" si="77">H24+H23</f>
        <v>-400</v>
      </c>
      <c r="I25" s="19">
        <f t="shared" si="77"/>
        <v>107.09500000000003</v>
      </c>
      <c r="J25" s="19">
        <f t="shared" si="77"/>
        <v>109.23690000000005</v>
      </c>
      <c r="K25" s="19">
        <f t="shared" si="77"/>
        <v>111.42163800000002</v>
      </c>
      <c r="L25" s="19">
        <f t="shared" si="77"/>
        <v>113.65007076000003</v>
      </c>
      <c r="M25" s="19">
        <f t="shared" si="77"/>
        <v>115.92307217520003</v>
      </c>
      <c r="N25" s="19">
        <f t="shared" si="77"/>
        <v>118.24153361870403</v>
      </c>
      <c r="O25" s="19">
        <f t="shared" si="77"/>
        <v>120.60636429107811</v>
      </c>
      <c r="P25" s="19">
        <f t="shared" si="77"/>
        <v>123.01849157689966</v>
      </c>
      <c r="Q25" s="19">
        <f t="shared" si="77"/>
        <v>125.47886140843768</v>
      </c>
      <c r="R25" s="19">
        <f t="shared" si="77"/>
        <v>127.98843863660646</v>
      </c>
      <c r="S25" s="19">
        <f t="shared" si="77"/>
        <v>130.54820740933857</v>
      </c>
      <c r="T25" s="19">
        <f t="shared" si="77"/>
        <v>133.15917155752535</v>
      </c>
      <c r="U25" s="19">
        <f t="shared" si="77"/>
        <v>135.82235498867587</v>
      </c>
      <c r="V25" s="19">
        <f t="shared" si="77"/>
        <v>138.53880208844936</v>
      </c>
      <c r="W25" s="19">
        <f t="shared" si="77"/>
        <v>141.30957813021837</v>
      </c>
      <c r="X25" s="19">
        <f t="shared" si="77"/>
        <v>144.13576969282275</v>
      </c>
      <c r="Y25" s="19">
        <f t="shared" si="77"/>
        <v>147.01848508667919</v>
      </c>
      <c r="Z25" s="19">
        <f t="shared" si="77"/>
        <v>149.95885478841279</v>
      </c>
      <c r="AA25" s="19">
        <f t="shared" si="77"/>
        <v>152.95803188418105</v>
      </c>
      <c r="AB25" s="19">
        <f t="shared" si="77"/>
        <v>156.0171925218647</v>
      </c>
      <c r="AC25" s="19">
        <f t="shared" si="77"/>
        <v>159.13753637230195</v>
      </c>
      <c r="AD25" s="19">
        <f t="shared" si="77"/>
        <v>162.32028709974804</v>
      </c>
      <c r="AE25" s="19">
        <f t="shared" si="77"/>
        <v>165.56669284174302</v>
      </c>
      <c r="AF25" s="19">
        <f t="shared" si="77"/>
        <v>368.87802669857786</v>
      </c>
    </row>
    <row r="26" spans="1:32">
      <c r="A26" s="3" t="s">
        <v>12</v>
      </c>
      <c r="B26" s="7" t="str">
        <f>G67</f>
        <v>6 years</v>
      </c>
      <c r="C26" s="17"/>
      <c r="D26" s="17"/>
      <c r="E26" s="17"/>
      <c r="F26" s="33"/>
      <c r="G26" s="17">
        <f>G25/(1+$B$4)^G9</f>
        <v>-400</v>
      </c>
      <c r="H26" s="17">
        <f>H25/(1+$B$4)^H9</f>
        <v>-360.36036036036035</v>
      </c>
      <c r="I26" s="17">
        <f t="shared" ref="I26:AF26" si="78">I25/(1+$B$4)^I9</f>
        <v>86.920704488272065</v>
      </c>
      <c r="J26" s="17">
        <f>J25/(1+$B$4)^J9</f>
        <v>79.873079800033807</v>
      </c>
      <c r="K26" s="17">
        <f t="shared" si="78"/>
        <v>73.396884140571572</v>
      </c>
      <c r="L26" s="17">
        <f t="shared" si="78"/>
        <v>67.445785426471176</v>
      </c>
      <c r="M26" s="17">
        <f t="shared" si="78"/>
        <v>61.977208229730273</v>
      </c>
      <c r="N26" s="17">
        <f t="shared" si="78"/>
        <v>56.952029184076459</v>
      </c>
      <c r="O26" s="17">
        <f t="shared" si="78"/>
        <v>52.334297088070251</v>
      </c>
      <c r="P26" s="17">
        <f t="shared" si="78"/>
        <v>48.090975702551034</v>
      </c>
      <c r="Q26" s="17">
        <f t="shared" si="78"/>
        <v>44.191707402344193</v>
      </c>
      <c r="R26" s="17">
        <f t="shared" si="78"/>
        <v>40.608595991343321</v>
      </c>
      <c r="S26" s="17">
        <f t="shared" si="78"/>
        <v>37.316007127180342</v>
      </c>
      <c r="T26" s="17">
        <f t="shared" si="78"/>
        <v>34.290384927679234</v>
      </c>
      <c r="U26" s="17">
        <f t="shared" si="78"/>
        <v>31.510083447056594</v>
      </c>
      <c r="V26" s="17">
        <f t="shared" si="78"/>
        <v>28.955211816214167</v>
      </c>
      <c r="W26" s="17">
        <f t="shared" si="78"/>
        <v>26.607491939223824</v>
      </c>
      <c r="X26" s="17">
        <f t="shared" si="78"/>
        <v>24.450127727935406</v>
      </c>
      <c r="Y26" s="17">
        <f t="shared" si="78"/>
        <v>22.467684939183886</v>
      </c>
      <c r="Z26" s="17">
        <f t="shared" si="78"/>
        <v>20.645980754925734</v>
      </c>
      <c r="AA26" s="17">
        <f t="shared" si="78"/>
        <v>18.971982315337158</v>
      </c>
      <c r="AB26" s="17">
        <f t="shared" si="78"/>
        <v>17.43371347895847</v>
      </c>
      <c r="AC26" s="17">
        <f t="shared" si="78"/>
        <v>16.020169142826699</v>
      </c>
      <c r="AD26" s="17">
        <f t="shared" si="78"/>
        <v>14.721236509624539</v>
      </c>
      <c r="AE26" s="17">
        <f t="shared" si="78"/>
        <v>13.527622738573898</v>
      </c>
      <c r="AF26" s="17">
        <f t="shared" si="78"/>
        <v>27.152405839801403</v>
      </c>
    </row>
    <row r="27" spans="1:32">
      <c r="A27" s="3" t="s">
        <v>13</v>
      </c>
      <c r="B27" s="9">
        <f>G68</f>
        <v>3.8963052676543026</v>
      </c>
      <c r="C27" s="17"/>
      <c r="D27" s="17"/>
      <c r="E27" s="17"/>
      <c r="F27" s="13" t="s">
        <v>41</v>
      </c>
      <c r="G27" s="14">
        <f>NPV(B4,H25:AF25)+G25</f>
        <v>185.50100979762522</v>
      </c>
      <c r="H27" s="12" t="s">
        <v>43</v>
      </c>
      <c r="I27" s="12">
        <f>SUM(G26:AF26)</f>
        <v>185.50100979762522</v>
      </c>
      <c r="J27" s="17"/>
      <c r="K27" s="17"/>
      <c r="L27" s="17">
        <f>SUM($G$26:L26)</f>
        <v>-452.72390650501166</v>
      </c>
      <c r="M27" s="17">
        <f>SUM($G$26:M26)</f>
        <v>-390.7466982752814</v>
      </c>
      <c r="N27" s="17">
        <f>SUM($G$26:N26)</f>
        <v>-333.79466909120492</v>
      </c>
      <c r="O27" s="17">
        <f>SUM($G$26:O26)</f>
        <v>-281.46037200313469</v>
      </c>
      <c r="P27" s="17">
        <f>SUM($G$26:P26)</f>
        <v>-233.36939630058367</v>
      </c>
      <c r="Q27" s="17">
        <f>SUM($G$26:Q26)</f>
        <v>-189.17768889823947</v>
      </c>
      <c r="R27" s="17">
        <f>SUM($G$26:R26)</f>
        <v>-148.56909290689615</v>
      </c>
      <c r="S27" s="17">
        <f>SUM($G$26:S26)</f>
        <v>-111.2530857797158</v>
      </c>
      <c r="T27" s="17">
        <f>SUM($G$26:T26)</f>
        <v>-76.962700852036562</v>
      </c>
      <c r="U27" s="17">
        <f>SUM($G$26:U26)</f>
        <v>-45.452617404979968</v>
      </c>
      <c r="V27" s="17">
        <f>SUM($G$26:V26)</f>
        <v>-16.497405588765801</v>
      </c>
      <c r="W27" s="17">
        <f>SUM($G$26:W26)</f>
        <v>10.110086350458023</v>
      </c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17"/>
      <c r="B28" s="17"/>
      <c r="C28" s="17"/>
      <c r="D28" s="17"/>
      <c r="E28" s="17"/>
      <c r="F28" s="13" t="s">
        <v>11</v>
      </c>
      <c r="G28" s="15">
        <f>IRR(G25:AF25,B4)</f>
        <v>0.13733638001095705</v>
      </c>
      <c r="H28" s="12"/>
      <c r="I28" s="12"/>
      <c r="J28" s="17"/>
      <c r="K28" s="17"/>
      <c r="L28" s="17">
        <v>6</v>
      </c>
      <c r="M28" s="17" t="s">
        <v>56</v>
      </c>
      <c r="N28" s="17">
        <v>8</v>
      </c>
      <c r="O28" s="17">
        <v>9</v>
      </c>
      <c r="P28" s="17">
        <v>10</v>
      </c>
      <c r="Q28" s="17">
        <v>11</v>
      </c>
      <c r="R28" s="17">
        <v>12</v>
      </c>
      <c r="S28" s="17">
        <v>13</v>
      </c>
      <c r="T28" s="17">
        <v>14</v>
      </c>
      <c r="U28" s="17">
        <v>15</v>
      </c>
      <c r="V28" s="17">
        <v>16</v>
      </c>
      <c r="W28" s="17">
        <v>17</v>
      </c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>
      <c r="A29" s="33" t="s">
        <v>22</v>
      </c>
      <c r="B29" s="23" t="s">
        <v>23</v>
      </c>
      <c r="C29" s="23" t="s">
        <v>24</v>
      </c>
      <c r="D29" s="17"/>
      <c r="E29" s="17"/>
      <c r="F29" s="13" t="s">
        <v>42</v>
      </c>
      <c r="G29" s="12">
        <f>W28</f>
        <v>17</v>
      </c>
      <c r="H29" s="12"/>
      <c r="I29" s="12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>
      <c r="A30" s="6" t="s">
        <v>25</v>
      </c>
      <c r="B30" s="10">
        <f>G27</f>
        <v>185.50100979762522</v>
      </c>
      <c r="C30" s="10">
        <f>B24</f>
        <v>1831.3420935212098</v>
      </c>
      <c r="D30" s="17"/>
      <c r="E30" s="17"/>
      <c r="F30" s="13" t="s">
        <v>13</v>
      </c>
      <c r="G30" s="16">
        <f>NPV(B4,G23:AF23)/-(NPV(B4,G24:AF24)+G25)</f>
        <v>1.0080785006469397</v>
      </c>
      <c r="H30" s="12"/>
      <c r="I30" s="1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17" t="s">
        <v>26</v>
      </c>
      <c r="B31" s="45">
        <v>50</v>
      </c>
      <c r="C31" s="45">
        <f>B31</f>
        <v>50</v>
      </c>
      <c r="D31" s="17"/>
      <c r="E31" s="17"/>
      <c r="F31" s="33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41" t="s">
        <v>27</v>
      </c>
      <c r="B32" s="46">
        <v>50</v>
      </c>
      <c r="C32" s="46">
        <f>B32</f>
        <v>50</v>
      </c>
      <c r="D32" s="17"/>
      <c r="E32" s="17"/>
      <c r="F32" s="33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>
      <c r="A33" s="33" t="s">
        <v>28</v>
      </c>
      <c r="B33" s="34">
        <f>SUM(B30:B32)</f>
        <v>285.50100979762522</v>
      </c>
      <c r="C33" s="34">
        <f>SUM(C30:C32)</f>
        <v>1931.3420935212098</v>
      </c>
      <c r="D33" s="17"/>
      <c r="E33" s="17"/>
      <c r="F33" s="54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>
      <c r="A34" s="17" t="s">
        <v>29</v>
      </c>
      <c r="B34" s="45">
        <v>0</v>
      </c>
      <c r="C34" s="11">
        <f>B17</f>
        <v>600</v>
      </c>
      <c r="D34" s="17"/>
      <c r="E34" s="17"/>
      <c r="F34" s="33"/>
      <c r="G34" s="55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>
      <c r="A35" s="17" t="s">
        <v>30</v>
      </c>
      <c r="B35" s="45">
        <v>25</v>
      </c>
      <c r="C35" s="45">
        <f>B35</f>
        <v>25</v>
      </c>
      <c r="D35" s="17"/>
      <c r="E35" s="17"/>
      <c r="F35" s="33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>
      <c r="A36" s="41" t="s">
        <v>31</v>
      </c>
      <c r="B36" s="46">
        <v>50</v>
      </c>
      <c r="C36" s="46">
        <f>B36</f>
        <v>50</v>
      </c>
      <c r="D36" s="17"/>
      <c r="E36" s="17"/>
      <c r="F36" s="33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>
      <c r="A37" s="33" t="s">
        <v>32</v>
      </c>
      <c r="B37" s="34">
        <f>SUM(B34:B36)</f>
        <v>75</v>
      </c>
      <c r="C37" s="34">
        <f>SUM(C34:C36)</f>
        <v>675</v>
      </c>
      <c r="D37" s="17"/>
      <c r="E37" s="17"/>
      <c r="F37" s="13" t="s">
        <v>60</v>
      </c>
      <c r="G37" s="13"/>
      <c r="H37" s="13"/>
      <c r="I37" s="13">
        <v>1</v>
      </c>
      <c r="J37" s="13">
        <v>2</v>
      </c>
      <c r="K37" s="13">
        <v>3</v>
      </c>
      <c r="L37" s="13">
        <v>4</v>
      </c>
      <c r="M37" s="13">
        <v>5</v>
      </c>
      <c r="N37" s="13">
        <v>6</v>
      </c>
      <c r="O37" s="13">
        <v>7</v>
      </c>
      <c r="P37" s="13">
        <v>8</v>
      </c>
      <c r="Q37" s="13">
        <v>9</v>
      </c>
      <c r="R37" s="13">
        <v>10</v>
      </c>
    </row>
    <row r="38" spans="1:32">
      <c r="A38" s="5" t="s">
        <v>33</v>
      </c>
      <c r="B38" s="10">
        <f>B33-B37</f>
        <v>210.50100979762522</v>
      </c>
      <c r="C38" s="10">
        <f>C33-C37</f>
        <v>1256.3420935212098</v>
      </c>
      <c r="D38" s="17"/>
      <c r="E38" s="17"/>
      <c r="F38" s="33" t="s">
        <v>44</v>
      </c>
      <c r="G38" s="17"/>
      <c r="H38" s="17"/>
      <c r="I38" s="19">
        <f>B17</f>
        <v>600</v>
      </c>
      <c r="J38" s="47">
        <f>I38-(I40)</f>
        <v>554.47922506776968</v>
      </c>
      <c r="K38" s="47">
        <f>J38-(J40)</f>
        <v>506.22720363960553</v>
      </c>
      <c r="L38" s="47">
        <f>K38-(K40)</f>
        <v>455.08006092575158</v>
      </c>
      <c r="M38" s="47">
        <f>L38-(L40)</f>
        <v>400.86408964906639</v>
      </c>
      <c r="N38" s="47">
        <f t="shared" ref="N38:R38" si="79">M38-(M40)</f>
        <v>343.39516009578006</v>
      </c>
      <c r="O38" s="47">
        <f t="shared" si="79"/>
        <v>282.47809476929655</v>
      </c>
      <c r="P38" s="47">
        <f t="shared" si="79"/>
        <v>217.90600552322402</v>
      </c>
      <c r="Q38" s="47">
        <f t="shared" si="79"/>
        <v>149.45959092238715</v>
      </c>
      <c r="R38" s="47">
        <f t="shared" si="79"/>
        <v>76.906391445500063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2">
      <c r="A39" s="17"/>
      <c r="B39" s="17"/>
      <c r="C39" s="17"/>
      <c r="D39" s="17"/>
      <c r="E39" s="17"/>
      <c r="F39" s="33" t="s">
        <v>45</v>
      </c>
      <c r="G39" s="17"/>
      <c r="H39" s="17"/>
      <c r="I39" s="19">
        <f>I38*$B$18</f>
        <v>36</v>
      </c>
      <c r="J39" s="19">
        <f>J38*$B$18</f>
        <v>33.268753504066183</v>
      </c>
      <c r="K39" s="19">
        <f>K38*$B$18</f>
        <v>30.373632218376329</v>
      </c>
      <c r="L39" s="19">
        <f t="shared" ref="L39:R39" si="80">L38*$B$18</f>
        <v>27.304803655545093</v>
      </c>
      <c r="M39" s="19">
        <f t="shared" si="80"/>
        <v>24.051845378943984</v>
      </c>
      <c r="N39" s="19">
        <f t="shared" si="80"/>
        <v>20.603709605746804</v>
      </c>
      <c r="O39" s="19">
        <f t="shared" si="80"/>
        <v>16.948685686157791</v>
      </c>
      <c r="P39" s="19">
        <f t="shared" si="80"/>
        <v>13.074360331393441</v>
      </c>
      <c r="Q39" s="19">
        <f t="shared" si="80"/>
        <v>8.9675754553432281</v>
      </c>
      <c r="R39" s="19">
        <f t="shared" si="80"/>
        <v>4.614383486730004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>
      <c r="A40" s="17"/>
      <c r="B40" s="17"/>
      <c r="C40" s="17"/>
      <c r="D40" s="17"/>
      <c r="E40" s="17"/>
      <c r="F40" s="33" t="s">
        <v>46</v>
      </c>
      <c r="G40" s="17"/>
      <c r="H40" s="17"/>
      <c r="I40" s="52">
        <f>$B$22-I39</f>
        <v>45.52077493223031</v>
      </c>
      <c r="J40" s="52">
        <f>$B$22-J39</f>
        <v>48.252021428164127</v>
      </c>
      <c r="K40" s="52">
        <f t="shared" ref="K40:R40" si="81">$B$22-K39</f>
        <v>51.147142713853981</v>
      </c>
      <c r="L40" s="52">
        <f t="shared" si="81"/>
        <v>54.215971276685217</v>
      </c>
      <c r="M40" s="52">
        <f t="shared" si="81"/>
        <v>57.46892955328633</v>
      </c>
      <c r="N40" s="52">
        <f t="shared" si="81"/>
        <v>60.91706532648351</v>
      </c>
      <c r="O40" s="52">
        <f t="shared" si="81"/>
        <v>64.572089246072522</v>
      </c>
      <c r="P40" s="52">
        <f t="shared" si="81"/>
        <v>68.446414600836874</v>
      </c>
      <c r="Q40" s="52">
        <f t="shared" si="81"/>
        <v>72.553199476887087</v>
      </c>
      <c r="R40" s="52">
        <f t="shared" si="81"/>
        <v>76.906391445500304</v>
      </c>
      <c r="S40" s="17"/>
      <c r="T40" s="53">
        <f>SUM(I40:R40)</f>
        <v>600.00000000000023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>
      <c r="A41" s="17"/>
      <c r="B41" s="17"/>
      <c r="C41" s="17"/>
      <c r="D41" s="17"/>
      <c r="E41" s="17"/>
      <c r="F41" s="33" t="s">
        <v>47</v>
      </c>
      <c r="G41" s="17"/>
      <c r="H41" s="17"/>
      <c r="I41" s="48">
        <f>I39+I40</f>
        <v>81.52077493223031</v>
      </c>
      <c r="J41" s="48">
        <f>J39+J40</f>
        <v>81.52077493223031</v>
      </c>
      <c r="K41" s="48">
        <f t="shared" ref="K41:R41" si="82">K39+K40</f>
        <v>81.52077493223031</v>
      </c>
      <c r="L41" s="48">
        <f t="shared" si="82"/>
        <v>81.52077493223031</v>
      </c>
      <c r="M41" s="48">
        <f t="shared" si="82"/>
        <v>81.52077493223031</v>
      </c>
      <c r="N41" s="48">
        <f t="shared" si="82"/>
        <v>81.52077493223031</v>
      </c>
      <c r="O41" s="48">
        <f t="shared" si="82"/>
        <v>81.52077493223031</v>
      </c>
      <c r="P41" s="48">
        <f t="shared" si="82"/>
        <v>81.52077493223031</v>
      </c>
      <c r="Q41" s="48">
        <f t="shared" si="82"/>
        <v>81.52077493223031</v>
      </c>
      <c r="R41" s="48">
        <f t="shared" si="82"/>
        <v>81.52077493223031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>
      <c r="A42" s="17"/>
      <c r="B42" s="17"/>
      <c r="C42" s="17"/>
      <c r="D42" s="17"/>
      <c r="E42" s="17"/>
      <c r="F42" s="3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1:32">
      <c r="A43" s="17"/>
      <c r="B43" s="17"/>
      <c r="C43" s="17"/>
      <c r="D43" s="17"/>
      <c r="E43" s="17"/>
      <c r="F43" s="13" t="s">
        <v>60</v>
      </c>
      <c r="G43" s="13">
        <v>0</v>
      </c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  <c r="W43" s="13">
        <v>16</v>
      </c>
      <c r="X43" s="13">
        <v>17</v>
      </c>
      <c r="Y43" s="13">
        <v>18</v>
      </c>
      <c r="Z43" s="13">
        <v>19</v>
      </c>
      <c r="AA43" s="13">
        <v>20</v>
      </c>
      <c r="AB43" s="13">
        <v>21</v>
      </c>
      <c r="AC43" s="13">
        <v>22</v>
      </c>
      <c r="AD43" s="13">
        <v>23</v>
      </c>
      <c r="AE43" s="13">
        <v>24</v>
      </c>
      <c r="AF43" s="13">
        <v>25</v>
      </c>
    </row>
    <row r="44" spans="1:32">
      <c r="A44" s="17"/>
      <c r="B44" s="17"/>
      <c r="C44" s="17"/>
      <c r="D44" s="17"/>
      <c r="E44" s="17"/>
      <c r="F44" s="33" t="s">
        <v>61</v>
      </c>
      <c r="G44" s="17"/>
      <c r="H44" s="17"/>
      <c r="I44" s="17">
        <v>294</v>
      </c>
      <c r="J44" s="17">
        <v>525</v>
      </c>
      <c r="K44" s="17">
        <v>551.25</v>
      </c>
      <c r="L44" s="17">
        <v>578.8125</v>
      </c>
      <c r="M44" s="17">
        <v>607.75312500000007</v>
      </c>
      <c r="N44" s="17">
        <v>638.14078125000015</v>
      </c>
      <c r="O44" s="17">
        <v>670.04782031250022</v>
      </c>
      <c r="P44" s="17">
        <v>703.55021132812522</v>
      </c>
      <c r="Q44" s="17">
        <v>738.72772189453156</v>
      </c>
      <c r="R44" s="17">
        <v>775.66410798925813</v>
      </c>
      <c r="S44" s="17">
        <v>814.44731338872111</v>
      </c>
      <c r="T44" s="17">
        <v>855.16967905815716</v>
      </c>
      <c r="U44" s="17">
        <v>897.92816301106507</v>
      </c>
      <c r="V44" s="17">
        <v>942.82457116161834</v>
      </c>
      <c r="W44" s="17">
        <v>989.96579971969925</v>
      </c>
      <c r="X44" s="17">
        <v>1039.4640897056843</v>
      </c>
      <c r="Y44" s="17">
        <v>1091.4372941909685</v>
      </c>
      <c r="Z44" s="17">
        <v>1146.0091589005169</v>
      </c>
      <c r="AA44" s="17">
        <v>1203.3096168455429</v>
      </c>
      <c r="AB44" s="17">
        <v>1263.4750976878202</v>
      </c>
      <c r="AC44" s="17">
        <v>1326.6488525722111</v>
      </c>
      <c r="AD44" s="17">
        <v>1392.9812952008217</v>
      </c>
      <c r="AE44" s="17">
        <v>1462.630359960863</v>
      </c>
      <c r="AF44" s="17">
        <v>1535.7618779589061</v>
      </c>
    </row>
    <row r="45" spans="1:32">
      <c r="A45" s="17"/>
      <c r="B45" s="17"/>
      <c r="C45" s="17"/>
      <c r="D45" s="17"/>
      <c r="E45" s="17"/>
      <c r="F45" s="33" t="s">
        <v>66</v>
      </c>
      <c r="G45" s="17"/>
      <c r="H45" s="17"/>
      <c r="I45" s="17">
        <v>325</v>
      </c>
      <c r="J45" s="17">
        <v>341.25</v>
      </c>
      <c r="K45" s="17">
        <v>358.3125</v>
      </c>
      <c r="L45" s="17">
        <v>376.22812500000003</v>
      </c>
      <c r="M45" s="17">
        <v>395.03953125000004</v>
      </c>
      <c r="N45" s="17">
        <v>414.79150781250007</v>
      </c>
      <c r="O45" s="17">
        <v>435.53108320312509</v>
      </c>
      <c r="P45" s="17">
        <v>457.30763736328134</v>
      </c>
      <c r="Q45" s="17">
        <v>480.17301923144544</v>
      </c>
      <c r="R45" s="17">
        <v>504.18167019301774</v>
      </c>
      <c r="S45" s="17">
        <v>529.39075370266869</v>
      </c>
      <c r="T45" s="17">
        <v>555.86029138780214</v>
      </c>
      <c r="U45" s="17">
        <v>583.65330595719229</v>
      </c>
      <c r="V45" s="17">
        <v>612.83597125505196</v>
      </c>
      <c r="W45" s="17">
        <v>643.47776981780453</v>
      </c>
      <c r="X45" s="17">
        <v>675.65165830869478</v>
      </c>
      <c r="Y45" s="17">
        <v>709.43424122412955</v>
      </c>
      <c r="Z45" s="17">
        <v>744.90595328533607</v>
      </c>
      <c r="AA45" s="17">
        <v>782.15125094960285</v>
      </c>
      <c r="AB45" s="17">
        <v>821.258813497083</v>
      </c>
      <c r="AC45" s="17">
        <v>862.32175417193719</v>
      </c>
      <c r="AD45" s="17">
        <v>905.43784188053405</v>
      </c>
      <c r="AE45" s="17">
        <v>950.70973397456078</v>
      </c>
      <c r="AF45" s="17">
        <v>998.24522067328883</v>
      </c>
    </row>
    <row r="46" spans="1:32">
      <c r="A46" s="17"/>
      <c r="B46" s="17"/>
      <c r="C46" s="17"/>
      <c r="D46" s="17"/>
      <c r="E46" s="17"/>
      <c r="F46" s="33"/>
      <c r="G46" s="17"/>
      <c r="H46" s="17"/>
      <c r="I46" s="17">
        <v>175</v>
      </c>
      <c r="J46" s="17">
        <v>183.75</v>
      </c>
      <c r="K46" s="17">
        <v>192.9375</v>
      </c>
      <c r="L46" s="17">
        <v>202.58437499999997</v>
      </c>
      <c r="M46" s="17">
        <v>212.71359375000003</v>
      </c>
      <c r="N46" s="17">
        <v>223.34927343750007</v>
      </c>
      <c r="O46" s="17">
        <v>234.51673710937513</v>
      </c>
      <c r="P46" s="17">
        <v>246.24257396484387</v>
      </c>
      <c r="Q46" s="17">
        <v>258.55470266308612</v>
      </c>
      <c r="R46" s="17">
        <v>271.48243779624039</v>
      </c>
      <c r="S46" s="17">
        <v>285.05655968605242</v>
      </c>
      <c r="T46" s="17">
        <v>299.30938767035502</v>
      </c>
      <c r="U46" s="17">
        <v>314.27485705387278</v>
      </c>
      <c r="V46" s="17">
        <v>329.98859990656638</v>
      </c>
      <c r="W46" s="17">
        <v>346.48802990189472</v>
      </c>
      <c r="X46" s="17">
        <v>363.8124313969895</v>
      </c>
      <c r="Y46" s="17">
        <v>382.00305296683894</v>
      </c>
      <c r="Z46" s="17">
        <v>401.10320561518085</v>
      </c>
      <c r="AA46" s="17">
        <v>421.15836589594005</v>
      </c>
      <c r="AB46" s="17">
        <v>442.21628419073716</v>
      </c>
      <c r="AC46" s="17">
        <v>464.32709840027394</v>
      </c>
      <c r="AD46" s="17">
        <v>487.54345332028765</v>
      </c>
      <c r="AE46" s="17">
        <v>511.92062598630218</v>
      </c>
      <c r="AF46" s="17">
        <v>537.51665728561727</v>
      </c>
    </row>
    <row r="47" spans="1:32">
      <c r="A47" s="17"/>
      <c r="B47" s="17"/>
      <c r="C47" s="17"/>
      <c r="D47" s="17"/>
      <c r="E47" s="17"/>
      <c r="F47" s="33" t="s">
        <v>63</v>
      </c>
      <c r="G47" s="17"/>
      <c r="H47" s="17"/>
      <c r="I47" s="17">
        <v>0.35</v>
      </c>
      <c r="J47" s="17">
        <v>0.35</v>
      </c>
      <c r="K47" s="17">
        <v>0.35</v>
      </c>
      <c r="L47" s="17">
        <v>0.34999999999999992</v>
      </c>
      <c r="M47" s="17">
        <v>0.35000000000000003</v>
      </c>
      <c r="N47" s="17">
        <v>0.35000000000000003</v>
      </c>
      <c r="O47" s="17">
        <v>0.35000000000000009</v>
      </c>
      <c r="P47" s="17">
        <v>0.35000000000000009</v>
      </c>
      <c r="Q47" s="17">
        <v>0.35000000000000009</v>
      </c>
      <c r="R47" s="17">
        <v>0.35000000000000003</v>
      </c>
      <c r="S47" s="17">
        <v>0.35000000000000003</v>
      </c>
      <c r="T47" s="17">
        <v>0.35000000000000003</v>
      </c>
      <c r="U47" s="17">
        <v>0.35000000000000003</v>
      </c>
      <c r="V47" s="17">
        <v>0.35</v>
      </c>
      <c r="W47" s="17">
        <v>0.35</v>
      </c>
      <c r="X47" s="17">
        <v>0.35</v>
      </c>
      <c r="Y47" s="17">
        <v>0.35</v>
      </c>
      <c r="Z47" s="17">
        <v>0.34999999999999992</v>
      </c>
      <c r="AA47" s="17">
        <v>0.35000000000000003</v>
      </c>
      <c r="AB47" s="17">
        <v>0.35000000000000009</v>
      </c>
      <c r="AC47" s="17">
        <v>0.35000000000000003</v>
      </c>
      <c r="AD47" s="17">
        <v>0.35000000000000003</v>
      </c>
      <c r="AE47" s="17">
        <v>0.35000000000000009</v>
      </c>
      <c r="AF47" s="17">
        <v>0.35000000000000009</v>
      </c>
    </row>
    <row r="48" spans="1:32">
      <c r="A48" s="17"/>
      <c r="B48" s="17"/>
      <c r="C48" s="17"/>
      <c r="D48" s="17"/>
      <c r="E48" s="17"/>
      <c r="F48" s="33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1:32">
      <c r="A49" s="17"/>
      <c r="B49" s="17"/>
      <c r="C49" s="17"/>
      <c r="D49" s="17"/>
      <c r="E49" s="17"/>
      <c r="F49" s="33" t="s">
        <v>34</v>
      </c>
      <c r="G49" s="17"/>
      <c r="H49" s="17"/>
      <c r="I49" s="17">
        <v>325</v>
      </c>
      <c r="J49" s="17">
        <v>341.3</v>
      </c>
      <c r="K49" s="17">
        <v>358.3</v>
      </c>
      <c r="L49" s="17">
        <v>376.2</v>
      </c>
      <c r="M49" s="17">
        <v>399.5</v>
      </c>
      <c r="N49" s="17">
        <v>414.8</v>
      </c>
      <c r="O49" s="17">
        <v>435.5</v>
      </c>
      <c r="P49" s="17">
        <v>457.3</v>
      </c>
      <c r="Q49" s="17">
        <v>480.2</v>
      </c>
      <c r="R49" s="17">
        <f t="shared" ref="R49:AF49" si="83">R45</f>
        <v>504.18167019301774</v>
      </c>
      <c r="S49" s="17">
        <f t="shared" si="83"/>
        <v>529.39075370266869</v>
      </c>
      <c r="T49" s="17">
        <f t="shared" si="83"/>
        <v>555.86029138780214</v>
      </c>
      <c r="U49" s="17">
        <f t="shared" si="83"/>
        <v>583.65330595719229</v>
      </c>
      <c r="V49" s="17">
        <f t="shared" si="83"/>
        <v>612.83597125505196</v>
      </c>
      <c r="W49" s="17">
        <f t="shared" si="83"/>
        <v>643.47776981780453</v>
      </c>
      <c r="X49" s="17">
        <f t="shared" si="83"/>
        <v>675.65165830869478</v>
      </c>
      <c r="Y49" s="17">
        <f t="shared" si="83"/>
        <v>709.43424122412955</v>
      </c>
      <c r="Z49" s="17">
        <f t="shared" si="83"/>
        <v>744.90595328533607</v>
      </c>
      <c r="AA49" s="17">
        <f t="shared" si="83"/>
        <v>782.15125094960285</v>
      </c>
      <c r="AB49" s="17">
        <f t="shared" si="83"/>
        <v>821.258813497083</v>
      </c>
      <c r="AC49" s="17">
        <f t="shared" si="83"/>
        <v>862.32175417193719</v>
      </c>
      <c r="AD49" s="17">
        <f t="shared" si="83"/>
        <v>905.43784188053405</v>
      </c>
      <c r="AE49" s="17">
        <f t="shared" si="83"/>
        <v>950.70973397456078</v>
      </c>
      <c r="AF49" s="17">
        <f t="shared" si="83"/>
        <v>998.24522067328883</v>
      </c>
    </row>
    <row r="50" spans="1:32">
      <c r="A50" s="17"/>
      <c r="B50" s="17"/>
      <c r="C50" s="17"/>
      <c r="D50" s="17"/>
      <c r="E50" s="17"/>
      <c r="F50" s="33" t="s">
        <v>48</v>
      </c>
      <c r="G50" s="42">
        <f>-I39</f>
        <v>-36</v>
      </c>
      <c r="H50" s="42">
        <f>-J39</f>
        <v>-33.268753504066183</v>
      </c>
      <c r="I50" s="42">
        <f t="shared" ref="I50:R50" si="84">-K39</f>
        <v>-30.373632218376329</v>
      </c>
      <c r="J50" s="42">
        <f t="shared" si="84"/>
        <v>-27.304803655545093</v>
      </c>
      <c r="K50" s="42">
        <f t="shared" si="84"/>
        <v>-24.051845378943984</v>
      </c>
      <c r="L50" s="42">
        <f t="shared" si="84"/>
        <v>-20.603709605746804</v>
      </c>
      <c r="M50" s="42">
        <f t="shared" si="84"/>
        <v>-16.948685686157791</v>
      </c>
      <c r="N50" s="42">
        <f t="shared" si="84"/>
        <v>-13.074360331393441</v>
      </c>
      <c r="O50" s="42">
        <f t="shared" si="84"/>
        <v>-8.9675754553432281</v>
      </c>
      <c r="P50" s="42">
        <f t="shared" si="84"/>
        <v>-4.614383486730004</v>
      </c>
      <c r="Q50" s="42">
        <f t="shared" si="84"/>
        <v>0</v>
      </c>
      <c r="R50" s="42">
        <f t="shared" si="84"/>
        <v>0</v>
      </c>
      <c r="S50" s="41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>
      <c r="A51" s="47"/>
      <c r="B51" s="17"/>
      <c r="C51" s="17"/>
      <c r="D51" s="17"/>
      <c r="E51" s="17"/>
      <c r="F51" s="33" t="s">
        <v>49</v>
      </c>
      <c r="G51" s="19">
        <f>G50+G49</f>
        <v>-36</v>
      </c>
      <c r="H51" s="19">
        <f t="shared" ref="H51:AF51" si="85">H50+H49</f>
        <v>-33.268753504066183</v>
      </c>
      <c r="I51" s="19">
        <f t="shared" si="85"/>
        <v>294.62636778162369</v>
      </c>
      <c r="J51" s="19">
        <f t="shared" si="85"/>
        <v>313.99519634445494</v>
      </c>
      <c r="K51" s="19">
        <f t="shared" si="85"/>
        <v>334.24815462105602</v>
      </c>
      <c r="L51" s="19">
        <f t="shared" si="85"/>
        <v>355.59629039425317</v>
      </c>
      <c r="M51" s="19">
        <f t="shared" si="85"/>
        <v>382.55131431384223</v>
      </c>
      <c r="N51" s="19">
        <f t="shared" si="85"/>
        <v>401.72563966860656</v>
      </c>
      <c r="O51" s="19">
        <f t="shared" si="85"/>
        <v>426.53242454465675</v>
      </c>
      <c r="P51" s="19">
        <f t="shared" si="85"/>
        <v>452.68561651327002</v>
      </c>
      <c r="Q51" s="19">
        <f t="shared" si="85"/>
        <v>480.2</v>
      </c>
      <c r="R51" s="19">
        <f t="shared" si="85"/>
        <v>504.18167019301774</v>
      </c>
      <c r="S51" s="19">
        <f t="shared" si="85"/>
        <v>529.39075370266869</v>
      </c>
      <c r="T51" s="19">
        <f t="shared" si="85"/>
        <v>555.86029138780214</v>
      </c>
      <c r="U51" s="19">
        <f t="shared" si="85"/>
        <v>583.65330595719229</v>
      </c>
      <c r="V51" s="19">
        <f t="shared" si="85"/>
        <v>612.83597125505196</v>
      </c>
      <c r="W51" s="19">
        <f t="shared" si="85"/>
        <v>643.47776981780453</v>
      </c>
      <c r="X51" s="19">
        <f t="shared" si="85"/>
        <v>675.65165830869478</v>
      </c>
      <c r="Y51" s="19">
        <f t="shared" si="85"/>
        <v>709.43424122412955</v>
      </c>
      <c r="Z51" s="19">
        <f t="shared" si="85"/>
        <v>744.90595328533607</v>
      </c>
      <c r="AA51" s="19">
        <f t="shared" si="85"/>
        <v>782.15125094960285</v>
      </c>
      <c r="AB51" s="19">
        <f t="shared" si="85"/>
        <v>821.258813497083</v>
      </c>
      <c r="AC51" s="19">
        <f t="shared" si="85"/>
        <v>862.32175417193719</v>
      </c>
      <c r="AD51" s="19">
        <f t="shared" si="85"/>
        <v>905.43784188053405</v>
      </c>
      <c r="AE51" s="19">
        <f t="shared" si="85"/>
        <v>950.70973397456078</v>
      </c>
      <c r="AF51" s="19">
        <f t="shared" si="85"/>
        <v>998.24522067328883</v>
      </c>
    </row>
    <row r="52" spans="1:32">
      <c r="A52" s="17"/>
      <c r="B52" s="17"/>
      <c r="C52" s="17"/>
      <c r="D52" s="17"/>
      <c r="E52" s="17"/>
      <c r="F52" s="33" t="s">
        <v>35</v>
      </c>
      <c r="G52" s="48">
        <f>-G51*$B$2</f>
        <v>12.6</v>
      </c>
      <c r="H52" s="48">
        <f>-H51*$B$2</f>
        <v>11.644063726423163</v>
      </c>
      <c r="I52" s="48">
        <f t="shared" ref="I52:AF52" si="86">-I51*$B$2</f>
        <v>-103.11922872356828</v>
      </c>
      <c r="J52" s="48">
        <f t="shared" si="86"/>
        <v>-109.89831872055922</v>
      </c>
      <c r="K52" s="48">
        <f t="shared" si="86"/>
        <v>-116.9868541173696</v>
      </c>
      <c r="L52" s="48">
        <f t="shared" si="86"/>
        <v>-124.4587016379886</v>
      </c>
      <c r="M52" s="48">
        <f t="shared" si="86"/>
        <v>-133.89296000984478</v>
      </c>
      <c r="N52" s="48">
        <f t="shared" si="86"/>
        <v>-140.60397388401228</v>
      </c>
      <c r="O52" s="48">
        <f t="shared" si="86"/>
        <v>-149.28634859062984</v>
      </c>
      <c r="P52" s="48">
        <f t="shared" si="86"/>
        <v>-158.4399657796445</v>
      </c>
      <c r="Q52" s="48">
        <f t="shared" si="86"/>
        <v>-168.07</v>
      </c>
      <c r="R52" s="48">
        <f t="shared" si="86"/>
        <v>-176.46358456755621</v>
      </c>
      <c r="S52" s="48">
        <f t="shared" si="86"/>
        <v>-185.28676379593404</v>
      </c>
      <c r="T52" s="48">
        <f t="shared" si="86"/>
        <v>-194.55110198573072</v>
      </c>
      <c r="U52" s="48">
        <f t="shared" si="86"/>
        <v>-204.2786570850173</v>
      </c>
      <c r="V52" s="48">
        <f t="shared" si="86"/>
        <v>-214.49258993926819</v>
      </c>
      <c r="W52" s="48">
        <f t="shared" si="86"/>
        <v>-225.21721943623157</v>
      </c>
      <c r="X52" s="48">
        <f t="shared" si="86"/>
        <v>-236.47808040804316</v>
      </c>
      <c r="Y52" s="48">
        <f t="shared" si="86"/>
        <v>-248.30198442844534</v>
      </c>
      <c r="Z52" s="48">
        <f t="shared" si="86"/>
        <v>-260.71708364986762</v>
      </c>
      <c r="AA52" s="48">
        <f t="shared" si="86"/>
        <v>-273.752937832361</v>
      </c>
      <c r="AB52" s="48">
        <f t="shared" si="86"/>
        <v>-287.44058472397904</v>
      </c>
      <c r="AC52" s="48">
        <f t="shared" si="86"/>
        <v>-301.812613960178</v>
      </c>
      <c r="AD52" s="48">
        <f t="shared" si="86"/>
        <v>-316.90324465818691</v>
      </c>
      <c r="AE52" s="48">
        <f t="shared" si="86"/>
        <v>-332.74840689109624</v>
      </c>
      <c r="AF52" s="48">
        <f t="shared" si="86"/>
        <v>-349.38582723565105</v>
      </c>
    </row>
    <row r="53" spans="1:32">
      <c r="A53" s="17"/>
      <c r="B53" s="17"/>
      <c r="C53" s="17"/>
      <c r="D53" s="17"/>
      <c r="E53" s="17"/>
      <c r="F53" s="33" t="s">
        <v>65</v>
      </c>
      <c r="G53" s="48">
        <f>G51+G52</f>
        <v>-23.4</v>
      </c>
      <c r="H53" s="48">
        <f t="shared" ref="H53:AF53" si="87">H51+H52</f>
        <v>-21.62468977764302</v>
      </c>
      <c r="I53" s="48">
        <f t="shared" si="87"/>
        <v>191.5071390580554</v>
      </c>
      <c r="J53" s="48">
        <f t="shared" si="87"/>
        <v>204.09687762389572</v>
      </c>
      <c r="K53" s="48">
        <f t="shared" si="87"/>
        <v>217.26130050368641</v>
      </c>
      <c r="L53" s="48">
        <f t="shared" si="87"/>
        <v>231.13758875626456</v>
      </c>
      <c r="M53" s="48">
        <f t="shared" si="87"/>
        <v>248.65835430399744</v>
      </c>
      <c r="N53" s="48">
        <f t="shared" si="87"/>
        <v>261.12166578459426</v>
      </c>
      <c r="O53" s="48">
        <f t="shared" si="87"/>
        <v>277.24607595402688</v>
      </c>
      <c r="P53" s="48">
        <f t="shared" si="87"/>
        <v>294.24565073362555</v>
      </c>
      <c r="Q53" s="48">
        <f t="shared" si="87"/>
        <v>312.13</v>
      </c>
      <c r="R53" s="48">
        <f t="shared" si="87"/>
        <v>327.71808562546153</v>
      </c>
      <c r="S53" s="48">
        <f t="shared" si="87"/>
        <v>344.10398990673468</v>
      </c>
      <c r="T53" s="48">
        <f t="shared" si="87"/>
        <v>361.30918940207141</v>
      </c>
      <c r="U53" s="48">
        <f t="shared" si="87"/>
        <v>379.37464887217499</v>
      </c>
      <c r="V53" s="48">
        <f t="shared" si="87"/>
        <v>398.34338131578374</v>
      </c>
      <c r="W53" s="48">
        <f t="shared" si="87"/>
        <v>418.26055038157295</v>
      </c>
      <c r="X53" s="48">
        <f t="shared" si="87"/>
        <v>439.17357790065159</v>
      </c>
      <c r="Y53" s="48">
        <f t="shared" si="87"/>
        <v>461.13225679568421</v>
      </c>
      <c r="Z53" s="48">
        <f t="shared" si="87"/>
        <v>484.18886963546845</v>
      </c>
      <c r="AA53" s="48">
        <f t="shared" si="87"/>
        <v>508.39831311724186</v>
      </c>
      <c r="AB53" s="48">
        <f t="shared" si="87"/>
        <v>533.81822877310401</v>
      </c>
      <c r="AC53" s="48">
        <f t="shared" si="87"/>
        <v>560.50914021175913</v>
      </c>
      <c r="AD53" s="48">
        <f t="shared" si="87"/>
        <v>588.5345972223472</v>
      </c>
      <c r="AE53" s="48">
        <f t="shared" si="87"/>
        <v>617.96132708346454</v>
      </c>
      <c r="AF53" s="48">
        <f t="shared" si="87"/>
        <v>648.85939343763778</v>
      </c>
    </row>
    <row r="54" spans="1:32">
      <c r="A54" s="17"/>
      <c r="B54" s="17"/>
      <c r="C54" s="17"/>
      <c r="D54" s="17"/>
      <c r="E54" s="17"/>
      <c r="F54" s="33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1:32">
      <c r="A55" s="17"/>
      <c r="B55" s="17"/>
      <c r="C55" s="17"/>
      <c r="D55" s="17"/>
      <c r="E55" s="17"/>
      <c r="F55" s="33" t="s">
        <v>65</v>
      </c>
      <c r="G55" s="48">
        <f>G53</f>
        <v>-23.4</v>
      </c>
      <c r="H55" s="48">
        <f t="shared" ref="H55:AF55" si="88">H53</f>
        <v>-21.62468977764302</v>
      </c>
      <c r="I55" s="48">
        <f t="shared" si="88"/>
        <v>191.5071390580554</v>
      </c>
      <c r="J55" s="48">
        <f t="shared" si="88"/>
        <v>204.09687762389572</v>
      </c>
      <c r="K55" s="48">
        <f t="shared" si="88"/>
        <v>217.26130050368641</v>
      </c>
      <c r="L55" s="48">
        <f t="shared" si="88"/>
        <v>231.13758875626456</v>
      </c>
      <c r="M55" s="48">
        <f t="shared" si="88"/>
        <v>248.65835430399744</v>
      </c>
      <c r="N55" s="48">
        <f t="shared" si="88"/>
        <v>261.12166578459426</v>
      </c>
      <c r="O55" s="48">
        <f t="shared" si="88"/>
        <v>277.24607595402688</v>
      </c>
      <c r="P55" s="48">
        <f t="shared" si="88"/>
        <v>294.24565073362555</v>
      </c>
      <c r="Q55" s="48">
        <f t="shared" si="88"/>
        <v>312.13</v>
      </c>
      <c r="R55" s="48">
        <f t="shared" si="88"/>
        <v>327.71808562546153</v>
      </c>
      <c r="S55" s="48">
        <f t="shared" si="88"/>
        <v>344.10398990673468</v>
      </c>
      <c r="T55" s="48">
        <f t="shared" si="88"/>
        <v>361.30918940207141</v>
      </c>
      <c r="U55" s="48">
        <f t="shared" si="88"/>
        <v>379.37464887217499</v>
      </c>
      <c r="V55" s="48">
        <f t="shared" si="88"/>
        <v>398.34338131578374</v>
      </c>
      <c r="W55" s="48">
        <f t="shared" si="88"/>
        <v>418.26055038157295</v>
      </c>
      <c r="X55" s="48">
        <f t="shared" si="88"/>
        <v>439.17357790065159</v>
      </c>
      <c r="Y55" s="48">
        <f t="shared" si="88"/>
        <v>461.13225679568421</v>
      </c>
      <c r="Z55" s="48">
        <f t="shared" si="88"/>
        <v>484.18886963546845</v>
      </c>
      <c r="AA55" s="48">
        <f t="shared" si="88"/>
        <v>508.39831311724186</v>
      </c>
      <c r="AB55" s="48">
        <f t="shared" si="88"/>
        <v>533.81822877310401</v>
      </c>
      <c r="AC55" s="48">
        <f t="shared" si="88"/>
        <v>560.50914021175913</v>
      </c>
      <c r="AD55" s="48">
        <f t="shared" si="88"/>
        <v>588.5345972223472</v>
      </c>
      <c r="AE55" s="48">
        <f t="shared" si="88"/>
        <v>617.96132708346454</v>
      </c>
      <c r="AF55" s="48">
        <f t="shared" si="88"/>
        <v>648.85939343763778</v>
      </c>
    </row>
    <row r="56" spans="1:32">
      <c r="A56" s="17"/>
      <c r="B56" s="17"/>
      <c r="C56" s="17"/>
      <c r="D56" s="17"/>
      <c r="E56" s="17"/>
      <c r="F56" s="44" t="s">
        <v>50</v>
      </c>
      <c r="G56" s="41">
        <v>0</v>
      </c>
      <c r="H56" s="41">
        <v>0</v>
      </c>
      <c r="I56" s="42">
        <f>B10</f>
        <v>50</v>
      </c>
      <c r="J56" s="49">
        <f>I56*(1+$B$3)</f>
        <v>51</v>
      </c>
      <c r="K56" s="49">
        <f t="shared" ref="K56:AF56" si="89">J56*(1+$B$3)</f>
        <v>52.02</v>
      </c>
      <c r="L56" s="49">
        <f t="shared" si="89"/>
        <v>53.060400000000001</v>
      </c>
      <c r="M56" s="49">
        <f t="shared" si="89"/>
        <v>54.121608000000002</v>
      </c>
      <c r="N56" s="49">
        <f t="shared" si="89"/>
        <v>55.204040160000005</v>
      </c>
      <c r="O56" s="49">
        <f t="shared" si="89"/>
        <v>56.308120963200004</v>
      </c>
      <c r="P56" s="49">
        <f t="shared" si="89"/>
        <v>57.434283382464002</v>
      </c>
      <c r="Q56" s="49">
        <f t="shared" si="89"/>
        <v>58.582969050113284</v>
      </c>
      <c r="R56" s="49">
        <f t="shared" si="89"/>
        <v>59.754628431115549</v>
      </c>
      <c r="S56" s="49">
        <f t="shared" si="89"/>
        <v>60.949720999737863</v>
      </c>
      <c r="T56" s="49">
        <f t="shared" si="89"/>
        <v>62.168715419732621</v>
      </c>
      <c r="U56" s="49">
        <f t="shared" si="89"/>
        <v>63.412089728127278</v>
      </c>
      <c r="V56" s="49">
        <f t="shared" si="89"/>
        <v>64.680331522689826</v>
      </c>
      <c r="W56" s="49">
        <f t="shared" si="89"/>
        <v>65.973938153143621</v>
      </c>
      <c r="X56" s="49">
        <f t="shared" si="89"/>
        <v>67.293416916206496</v>
      </c>
      <c r="Y56" s="49">
        <f t="shared" si="89"/>
        <v>68.639285254530634</v>
      </c>
      <c r="Z56" s="49">
        <f t="shared" si="89"/>
        <v>70.012070959621255</v>
      </c>
      <c r="AA56" s="49">
        <f t="shared" si="89"/>
        <v>71.412312378813681</v>
      </c>
      <c r="AB56" s="49">
        <f t="shared" si="89"/>
        <v>72.840558626389949</v>
      </c>
      <c r="AC56" s="49">
        <f t="shared" si="89"/>
        <v>74.297369798917757</v>
      </c>
      <c r="AD56" s="49">
        <f t="shared" si="89"/>
        <v>75.783317194896114</v>
      </c>
      <c r="AE56" s="49">
        <f t="shared" si="89"/>
        <v>77.298983538794033</v>
      </c>
      <c r="AF56" s="49">
        <f t="shared" si="89"/>
        <v>78.844963209569912</v>
      </c>
    </row>
    <row r="57" spans="1:32">
      <c r="A57" s="17"/>
      <c r="B57" s="17"/>
      <c r="C57" s="17"/>
      <c r="D57" s="17"/>
      <c r="E57" s="17"/>
      <c r="F57" s="50" t="s">
        <v>51</v>
      </c>
      <c r="G57" s="48">
        <f>G56+G55</f>
        <v>-23.4</v>
      </c>
      <c r="H57" s="48">
        <f t="shared" ref="H57:AF57" si="90">H56+H55</f>
        <v>-21.62468977764302</v>
      </c>
      <c r="I57" s="48">
        <f t="shared" si="90"/>
        <v>241.5071390580554</v>
      </c>
      <c r="J57" s="48">
        <f t="shared" si="90"/>
        <v>255.09687762389572</v>
      </c>
      <c r="K57" s="48">
        <f t="shared" si="90"/>
        <v>269.2813005036864</v>
      </c>
      <c r="L57" s="48">
        <f t="shared" si="90"/>
        <v>284.19798875626458</v>
      </c>
      <c r="M57" s="48">
        <f t="shared" si="90"/>
        <v>302.77996230399742</v>
      </c>
      <c r="N57" s="48">
        <f t="shared" si="90"/>
        <v>316.32570594459423</v>
      </c>
      <c r="O57" s="48">
        <f t="shared" si="90"/>
        <v>333.55419691722688</v>
      </c>
      <c r="P57" s="48">
        <f t="shared" si="90"/>
        <v>351.67993411608956</v>
      </c>
      <c r="Q57" s="48">
        <f t="shared" si="90"/>
        <v>370.71296905011326</v>
      </c>
      <c r="R57" s="48">
        <f t="shared" si="90"/>
        <v>387.47271405657705</v>
      </c>
      <c r="S57" s="48">
        <f t="shared" si="90"/>
        <v>405.05371090647253</v>
      </c>
      <c r="T57" s="48">
        <f t="shared" si="90"/>
        <v>423.47790482180403</v>
      </c>
      <c r="U57" s="48">
        <f t="shared" si="90"/>
        <v>442.78673860030227</v>
      </c>
      <c r="V57" s="48">
        <f t="shared" si="90"/>
        <v>463.02371283847356</v>
      </c>
      <c r="W57" s="48">
        <f t="shared" si="90"/>
        <v>484.23448853471655</v>
      </c>
      <c r="X57" s="48">
        <f t="shared" si="90"/>
        <v>506.46699481685812</v>
      </c>
      <c r="Y57" s="48">
        <f t="shared" si="90"/>
        <v>529.77154205021486</v>
      </c>
      <c r="Z57" s="48">
        <f t="shared" si="90"/>
        <v>554.20094059508972</v>
      </c>
      <c r="AA57" s="48">
        <f t="shared" si="90"/>
        <v>579.81062549605554</v>
      </c>
      <c r="AB57" s="48">
        <f t="shared" si="90"/>
        <v>606.65878739949392</v>
      </c>
      <c r="AC57" s="48">
        <f t="shared" si="90"/>
        <v>634.8065100106769</v>
      </c>
      <c r="AD57" s="48">
        <f t="shared" si="90"/>
        <v>664.31791441724329</v>
      </c>
      <c r="AE57" s="48">
        <f t="shared" si="90"/>
        <v>695.26031062225854</v>
      </c>
      <c r="AF57" s="48">
        <f t="shared" si="90"/>
        <v>727.70435664720765</v>
      </c>
    </row>
    <row r="58" spans="1:32">
      <c r="A58" s="17"/>
      <c r="B58" s="17"/>
      <c r="C58" s="17"/>
      <c r="D58" s="17"/>
      <c r="E58" s="17"/>
      <c r="F58" s="33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1:32">
      <c r="A59" s="17"/>
      <c r="B59" s="17"/>
      <c r="C59" s="17"/>
      <c r="D59" s="17"/>
      <c r="E59" s="17"/>
      <c r="F59" s="33" t="s">
        <v>52</v>
      </c>
      <c r="G59" s="17">
        <v>0</v>
      </c>
      <c r="H59" s="17">
        <v>0</v>
      </c>
      <c r="I59" s="48">
        <f>I57</f>
        <v>241.5071390580554</v>
      </c>
      <c r="J59" s="48">
        <f t="shared" ref="J59:AE59" si="91">J57</f>
        <v>255.09687762389572</v>
      </c>
      <c r="K59" s="48">
        <f t="shared" si="91"/>
        <v>269.2813005036864</v>
      </c>
      <c r="L59" s="48">
        <f t="shared" si="91"/>
        <v>284.19798875626458</v>
      </c>
      <c r="M59" s="48">
        <f t="shared" si="91"/>
        <v>302.77996230399742</v>
      </c>
      <c r="N59" s="48">
        <f t="shared" si="91"/>
        <v>316.32570594459423</v>
      </c>
      <c r="O59" s="48">
        <f t="shared" si="91"/>
        <v>333.55419691722688</v>
      </c>
      <c r="P59" s="48">
        <f t="shared" si="91"/>
        <v>351.67993411608956</v>
      </c>
      <c r="Q59" s="48">
        <f t="shared" si="91"/>
        <v>370.71296905011326</v>
      </c>
      <c r="R59" s="48">
        <f t="shared" si="91"/>
        <v>387.47271405657705</v>
      </c>
      <c r="S59" s="48">
        <f t="shared" si="91"/>
        <v>405.05371090647253</v>
      </c>
      <c r="T59" s="48">
        <f t="shared" si="91"/>
        <v>423.47790482180403</v>
      </c>
      <c r="U59" s="48">
        <f t="shared" si="91"/>
        <v>442.78673860030227</v>
      </c>
      <c r="V59" s="48">
        <f t="shared" si="91"/>
        <v>463.02371283847356</v>
      </c>
      <c r="W59" s="48">
        <f t="shared" si="91"/>
        <v>484.23448853471655</v>
      </c>
      <c r="X59" s="48">
        <f t="shared" si="91"/>
        <v>506.46699481685812</v>
      </c>
      <c r="Y59" s="48">
        <f t="shared" si="91"/>
        <v>529.77154205021486</v>
      </c>
      <c r="Z59" s="48">
        <f t="shared" si="91"/>
        <v>554.20094059508972</v>
      </c>
      <c r="AA59" s="48">
        <f t="shared" si="91"/>
        <v>579.81062549605554</v>
      </c>
      <c r="AB59" s="48">
        <f t="shared" si="91"/>
        <v>606.65878739949392</v>
      </c>
      <c r="AC59" s="48">
        <f t="shared" si="91"/>
        <v>634.8065100106769</v>
      </c>
      <c r="AD59" s="48">
        <f t="shared" si="91"/>
        <v>664.31791441724329</v>
      </c>
      <c r="AE59" s="48">
        <f t="shared" si="91"/>
        <v>695.26031062225854</v>
      </c>
      <c r="AF59" s="48">
        <f>AF57+B8</f>
        <v>927.70435664720765</v>
      </c>
    </row>
    <row r="60" spans="1:32">
      <c r="A60" s="17"/>
      <c r="B60" s="17"/>
      <c r="C60" s="17"/>
      <c r="D60" s="17"/>
      <c r="E60" s="17"/>
      <c r="F60" s="33" t="s">
        <v>53</v>
      </c>
      <c r="G60" s="19">
        <v>-160.4</v>
      </c>
      <c r="H60" s="19">
        <v>-159.69999999999999</v>
      </c>
      <c r="I60" s="19">
        <f>-B9</f>
        <v>-25</v>
      </c>
      <c r="J60" s="17">
        <f>I60*(1+$B$3)</f>
        <v>-25.5</v>
      </c>
      <c r="K60" s="17">
        <f t="shared" ref="K60:AF60" si="92">J60*(1+$B$3)</f>
        <v>-26.01</v>
      </c>
      <c r="L60" s="17">
        <f t="shared" si="92"/>
        <v>-26.530200000000001</v>
      </c>
      <c r="M60" s="17">
        <f t="shared" si="92"/>
        <v>-27.060804000000001</v>
      </c>
      <c r="N60" s="17">
        <f t="shared" si="92"/>
        <v>-27.602020080000003</v>
      </c>
      <c r="O60" s="17">
        <f t="shared" si="92"/>
        <v>-28.154060481600002</v>
      </c>
      <c r="P60" s="17">
        <f t="shared" si="92"/>
        <v>-28.717141691232001</v>
      </c>
      <c r="Q60" s="17">
        <f t="shared" si="92"/>
        <v>-29.291484525056642</v>
      </c>
      <c r="R60" s="17">
        <f t="shared" si="92"/>
        <v>-29.877314215557774</v>
      </c>
      <c r="S60" s="17">
        <f t="shared" si="92"/>
        <v>-30.474860499868932</v>
      </c>
      <c r="T60" s="17">
        <f t="shared" si="92"/>
        <v>-31.08435770986631</v>
      </c>
      <c r="U60" s="17">
        <f t="shared" si="92"/>
        <v>-31.706044864063639</v>
      </c>
      <c r="V60" s="17">
        <f t="shared" si="92"/>
        <v>-32.340165761344913</v>
      </c>
      <c r="W60" s="17">
        <f t="shared" si="92"/>
        <v>-32.98696907657181</v>
      </c>
      <c r="X60" s="17">
        <f t="shared" si="92"/>
        <v>-33.646708458103248</v>
      </c>
      <c r="Y60" s="17">
        <f t="shared" si="92"/>
        <v>-34.319642627265317</v>
      </c>
      <c r="Z60" s="17">
        <f t="shared" si="92"/>
        <v>-35.006035479810627</v>
      </c>
      <c r="AA60" s="17">
        <f t="shared" si="92"/>
        <v>-35.70615618940684</v>
      </c>
      <c r="AB60" s="17">
        <f t="shared" si="92"/>
        <v>-36.420279313194975</v>
      </c>
      <c r="AC60" s="17">
        <f t="shared" si="92"/>
        <v>-37.148684899458878</v>
      </c>
      <c r="AD60" s="17">
        <f t="shared" si="92"/>
        <v>-37.891658597448057</v>
      </c>
      <c r="AE60" s="17">
        <f t="shared" si="92"/>
        <v>-38.649491769397017</v>
      </c>
      <c r="AF60" s="17">
        <f t="shared" si="92"/>
        <v>-39.422481604784956</v>
      </c>
    </row>
    <row r="61" spans="1:32">
      <c r="A61" s="17"/>
      <c r="B61" s="17"/>
      <c r="C61" s="17"/>
      <c r="D61" s="17"/>
      <c r="E61" s="17"/>
      <c r="F61" s="44" t="s">
        <v>54</v>
      </c>
      <c r="G61" s="51">
        <f>-I40</f>
        <v>-45.52077493223031</v>
      </c>
      <c r="H61" s="52">
        <f t="shared" ref="H61:P61" si="93">-J40</f>
        <v>-48.252021428164127</v>
      </c>
      <c r="I61" s="52">
        <f t="shared" si="93"/>
        <v>-51.147142713853981</v>
      </c>
      <c r="J61" s="52">
        <f t="shared" si="93"/>
        <v>-54.215971276685217</v>
      </c>
      <c r="K61" s="52">
        <f t="shared" si="93"/>
        <v>-57.46892955328633</v>
      </c>
      <c r="L61" s="52">
        <f t="shared" si="93"/>
        <v>-60.91706532648351</v>
      </c>
      <c r="M61" s="52">
        <f t="shared" si="93"/>
        <v>-64.572089246072522</v>
      </c>
      <c r="N61" s="52">
        <f t="shared" si="93"/>
        <v>-68.446414600836874</v>
      </c>
      <c r="O61" s="52">
        <f t="shared" si="93"/>
        <v>-72.553199476887087</v>
      </c>
      <c r="P61" s="52">
        <f t="shared" si="93"/>
        <v>-76.906391445500304</v>
      </c>
      <c r="Q61" s="52"/>
      <c r="R61" s="52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spans="1:32">
      <c r="A62" s="17"/>
      <c r="B62" s="17"/>
      <c r="C62" s="17"/>
      <c r="D62" s="17"/>
      <c r="E62" s="17"/>
      <c r="F62" s="33" t="s">
        <v>40</v>
      </c>
      <c r="G62" s="48">
        <f>G59+G60+G61</f>
        <v>-205.9207749322303</v>
      </c>
      <c r="H62" s="48">
        <f t="shared" ref="H62:AF62" si="94">H59+H60+H61</f>
        <v>-207.95202142816413</v>
      </c>
      <c r="I62" s="48">
        <f t="shared" si="94"/>
        <v>165.35999634420142</v>
      </c>
      <c r="J62" s="48">
        <f t="shared" si="94"/>
        <v>175.3809063472105</v>
      </c>
      <c r="K62" s="48">
        <f t="shared" si="94"/>
        <v>185.80237095040007</v>
      </c>
      <c r="L62" s="48">
        <f t="shared" si="94"/>
        <v>196.75072342978109</v>
      </c>
      <c r="M62" s="48">
        <f t="shared" si="94"/>
        <v>211.14706905792488</v>
      </c>
      <c r="N62" s="48">
        <f t="shared" si="94"/>
        <v>220.27727126375737</v>
      </c>
      <c r="O62" s="48">
        <f t="shared" si="94"/>
        <v>232.84693695873978</v>
      </c>
      <c r="P62" s="48">
        <f t="shared" si="94"/>
        <v>246.05640097935722</v>
      </c>
      <c r="Q62" s="48">
        <f t="shared" si="94"/>
        <v>341.4214845250566</v>
      </c>
      <c r="R62" s="48">
        <f t="shared" si="94"/>
        <v>357.59539984101929</v>
      </c>
      <c r="S62" s="48">
        <f t="shared" si="94"/>
        <v>374.57885040660358</v>
      </c>
      <c r="T62" s="48">
        <f t="shared" si="94"/>
        <v>392.39354711193772</v>
      </c>
      <c r="U62" s="48">
        <f t="shared" si="94"/>
        <v>411.08069373623863</v>
      </c>
      <c r="V62" s="48">
        <f t="shared" si="94"/>
        <v>430.68354707712865</v>
      </c>
      <c r="W62" s="48">
        <f t="shared" si="94"/>
        <v>451.24751945814472</v>
      </c>
      <c r="X62" s="48">
        <f t="shared" si="94"/>
        <v>472.82028635875486</v>
      </c>
      <c r="Y62" s="48">
        <f t="shared" si="94"/>
        <v>495.45189942294957</v>
      </c>
      <c r="Z62" s="48">
        <f t="shared" si="94"/>
        <v>519.19490511527908</v>
      </c>
      <c r="AA62" s="48">
        <f t="shared" si="94"/>
        <v>544.10446930664875</v>
      </c>
      <c r="AB62" s="48">
        <f t="shared" si="94"/>
        <v>570.23850808629891</v>
      </c>
      <c r="AC62" s="48">
        <f t="shared" si="94"/>
        <v>597.65782511121802</v>
      </c>
      <c r="AD62" s="48">
        <f t="shared" si="94"/>
        <v>626.42625581979519</v>
      </c>
      <c r="AE62" s="48">
        <f t="shared" si="94"/>
        <v>656.61081885286148</v>
      </c>
      <c r="AF62" s="48">
        <f t="shared" si="94"/>
        <v>888.28187504242271</v>
      </c>
    </row>
    <row r="63" spans="1:32">
      <c r="A63" s="17"/>
      <c r="B63" s="17"/>
      <c r="C63" s="17"/>
      <c r="D63" s="17"/>
      <c r="E63" s="17"/>
      <c r="F63" s="33"/>
      <c r="G63" s="17">
        <f>G62/(1+$B$4)^G43</f>
        <v>-205.9207749322303</v>
      </c>
      <c r="H63" s="17">
        <f t="shared" ref="H63:AF63" si="95">H62/(1+$B$4)^H43</f>
        <v>-187.34416344879651</v>
      </c>
      <c r="I63" s="17">
        <f t="shared" si="95"/>
        <v>134.20988259410876</v>
      </c>
      <c r="J63" s="17">
        <f t="shared" si="95"/>
        <v>128.23700716582943</v>
      </c>
      <c r="K63" s="17">
        <f t="shared" si="95"/>
        <v>122.3937768146077</v>
      </c>
      <c r="L63" s="17">
        <f t="shared" si="95"/>
        <v>116.76197811588575</v>
      </c>
      <c r="M63" s="17">
        <f t="shared" si="95"/>
        <v>112.88784553882677</v>
      </c>
      <c r="N63" s="17">
        <f t="shared" si="95"/>
        <v>106.09840043226376</v>
      </c>
      <c r="O63" s="17">
        <f t="shared" si="95"/>
        <v>101.03845552823208</v>
      </c>
      <c r="P63" s="17">
        <f t="shared" si="95"/>
        <v>96.189542314120146</v>
      </c>
      <c r="Q63" s="17">
        <f t="shared" si="95"/>
        <v>120.24334756986178</v>
      </c>
      <c r="R63" s="17">
        <f t="shared" si="95"/>
        <v>113.45905360824906</v>
      </c>
      <c r="S63" s="17">
        <f t="shared" si="95"/>
        <v>107.06992710850473</v>
      </c>
      <c r="T63" s="17">
        <f t="shared" si="95"/>
        <v>101.0469321506181</v>
      </c>
      <c r="U63" s="17">
        <f t="shared" si="95"/>
        <v>95.368593514541558</v>
      </c>
      <c r="V63" s="17">
        <f t="shared" si="95"/>
        <v>90.014733369897044</v>
      </c>
      <c r="W63" s="17">
        <f t="shared" si="95"/>
        <v>84.966390073807645</v>
      </c>
      <c r="X63" s="17">
        <f t="shared" si="95"/>
        <v>80.205742255846218</v>
      </c>
      <c r="Y63" s="17">
        <f t="shared" si="95"/>
        <v>75.71603783151518</v>
      </c>
      <c r="Z63" s="17">
        <f t="shared" si="95"/>
        <v>71.481527610957826</v>
      </c>
      <c r="AA63" s="17">
        <f t="shared" si="95"/>
        <v>67.487403193040365</v>
      </c>
      <c r="AB63" s="17">
        <f t="shared" si="95"/>
        <v>63.719738856678028</v>
      </c>
      <c r="AC63" s="17">
        <f t="shared" si="95"/>
        <v>60.165437181432424</v>
      </c>
      <c r="AD63" s="17">
        <f t="shared" si="95"/>
        <v>56.812178148100905</v>
      </c>
      <c r="AE63" s="17">
        <f t="shared" si="95"/>
        <v>53.648371487360841</v>
      </c>
      <c r="AF63" s="17">
        <f t="shared" si="95"/>
        <v>65.384729437950568</v>
      </c>
    </row>
    <row r="64" spans="1:32">
      <c r="A64" s="17"/>
      <c r="B64" s="17"/>
      <c r="C64" s="17"/>
      <c r="D64" s="17"/>
      <c r="E64" s="17"/>
      <c r="F64" s="4"/>
      <c r="I64">
        <f>SUM($G$63:I63)</f>
        <v>-259.05505578691805</v>
      </c>
      <c r="J64" s="17">
        <f>SUM($G$63:J63)</f>
        <v>-130.81804862108862</v>
      </c>
      <c r="K64">
        <f>SUM($G$63:K63)</f>
        <v>-8.4242718064809168</v>
      </c>
      <c r="L64" s="12">
        <f>SUM($G$63:L63)</f>
        <v>108.33770630940484</v>
      </c>
      <c r="M64">
        <f>SUM($G$63:M63)</f>
        <v>221.22555184823159</v>
      </c>
      <c r="N64">
        <f>SUM($G$63:N63)</f>
        <v>327.32395228049535</v>
      </c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>
      <c r="A65" s="17"/>
      <c r="B65" s="17"/>
      <c r="C65" s="17"/>
      <c r="D65" s="17"/>
      <c r="E65" s="17"/>
      <c r="F65" s="13" t="s">
        <v>41</v>
      </c>
      <c r="G65" s="12">
        <f>SUM(G63:AF63)</f>
        <v>1831.3420935212098</v>
      </c>
      <c r="H65" s="16">
        <f>NPV(B4,H62:AF62)+G62</f>
        <v>1831.3420935212098</v>
      </c>
      <c r="I65" s="12" t="s">
        <v>55</v>
      </c>
      <c r="J65" s="17">
        <v>4</v>
      </c>
      <c r="K65" t="s">
        <v>57</v>
      </c>
      <c r="L65" s="12">
        <v>6</v>
      </c>
      <c r="M65">
        <v>7</v>
      </c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>
      <c r="A66" s="17"/>
      <c r="B66" s="17"/>
      <c r="C66" s="17"/>
      <c r="D66" s="17"/>
      <c r="E66" s="17"/>
      <c r="F66" s="13" t="s">
        <v>11</v>
      </c>
      <c r="G66" s="15">
        <f>IRR(G62:AF62,B4)</f>
        <v>0.40152614571293443</v>
      </c>
      <c r="H66" s="12"/>
      <c r="I66" s="12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>
      <c r="A67" s="17"/>
      <c r="B67" s="17"/>
      <c r="C67" s="17"/>
      <c r="D67" s="17"/>
      <c r="E67" s="17"/>
      <c r="F67" s="13" t="s">
        <v>42</v>
      </c>
      <c r="G67" s="12" t="s">
        <v>59</v>
      </c>
      <c r="H67" s="12"/>
      <c r="I67" s="12"/>
    </row>
    <row r="68" spans="1:32">
      <c r="A68" s="17"/>
      <c r="B68" s="17"/>
      <c r="C68" s="17"/>
      <c r="D68" s="17"/>
      <c r="E68" s="17"/>
      <c r="F68" s="13" t="s">
        <v>13</v>
      </c>
      <c r="G68" s="16">
        <f>NPV(B4,G59:AF59)/-(NPV(B4,G60:AF60)+G60)</f>
        <v>3.8963052676543026</v>
      </c>
      <c r="H68" s="12"/>
      <c r="I68" s="12"/>
    </row>
    <row r="69" spans="1:32">
      <c r="A69" s="17"/>
      <c r="B69" s="17"/>
      <c r="C69" s="17"/>
      <c r="D69" s="17"/>
      <c r="E69" s="17"/>
      <c r="F69" s="4"/>
    </row>
    <row r="70" spans="1:32">
      <c r="E70" s="17"/>
      <c r="F70" s="4"/>
    </row>
    <row r="71" spans="1:32">
      <c r="E71" s="17"/>
      <c r="F71" s="4"/>
    </row>
    <row r="72" spans="1:32">
      <c r="E72" s="17"/>
      <c r="F72" s="4"/>
    </row>
    <row r="73" spans="1:32">
      <c r="E73" s="17"/>
      <c r="F73" s="4"/>
    </row>
    <row r="74" spans="1:32">
      <c r="E74" s="17"/>
      <c r="F74" s="4"/>
    </row>
    <row r="75" spans="1:32">
      <c r="E75" s="17"/>
      <c r="F75" s="4"/>
    </row>
    <row r="76" spans="1:32">
      <c r="F76" s="4"/>
    </row>
    <row r="77" spans="1:32">
      <c r="F77" s="4"/>
    </row>
    <row r="78" spans="1:32">
      <c r="F78" s="4"/>
    </row>
    <row r="79" spans="1:32">
      <c r="F79" s="4"/>
    </row>
    <row r="80" spans="1:32">
      <c r="F80" s="4"/>
    </row>
    <row r="81" spans="6:6">
      <c r="F81" s="4"/>
    </row>
    <row r="82" spans="6:6">
      <c r="F82" s="4"/>
    </row>
    <row r="83" spans="6:6">
      <c r="F83" s="4"/>
    </row>
    <row r="84" spans="6:6">
      <c r="F84" s="4"/>
    </row>
    <row r="85" spans="6:6">
      <c r="F85" s="4"/>
    </row>
    <row r="86" spans="6:6">
      <c r="F86" s="4"/>
    </row>
    <row r="87" spans="6:6">
      <c r="F87" s="4"/>
    </row>
    <row r="88" spans="6:6">
      <c r="F88" s="4"/>
    </row>
    <row r="89" spans="6:6">
      <c r="F89" s="4"/>
    </row>
  </sheetData>
  <pageMargins left="0.7" right="0.7" top="0.75" bottom="0.75" header="0.3" footer="0.3"/>
  <pageSetup scale="70" fitToWidth="2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C2D-240</dc:creator>
  <cp:lastModifiedBy>Becca</cp:lastModifiedBy>
  <cp:lastPrinted>2012-05-30T13:51:03Z</cp:lastPrinted>
  <dcterms:created xsi:type="dcterms:W3CDTF">2012-02-09T14:50:49Z</dcterms:created>
  <dcterms:modified xsi:type="dcterms:W3CDTF">2012-06-04T16:36:54Z</dcterms:modified>
</cp:coreProperties>
</file>