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 Fin Historic" sheetId="1" r:id="rId1"/>
    <sheet name="Assumptions" sheetId="2" r:id="rId2"/>
    <sheet name="Forecast" sheetId="3" r:id="rId3"/>
    <sheet name="Valuation" sheetId="4" r:id="rId4"/>
  </sheets>
  <definedNames/>
  <calcPr fullCalcOnLoad="1"/>
</workbook>
</file>

<file path=xl/comments1.xml><?xml version="1.0" encoding="utf-8"?>
<comments xmlns="http://schemas.openxmlformats.org/spreadsheetml/2006/main">
  <authors>
    <author>Omar Vega</author>
  </authors>
  <commentList>
    <comment ref="A21" authorId="0">
      <text>
        <r>
          <rPr>
            <b/>
            <sz val="8"/>
            <rFont val="Tahoma"/>
            <family val="0"/>
          </rPr>
          <t>Omar Vega:</t>
        </r>
        <r>
          <rPr>
            <sz val="8"/>
            <rFont val="Tahoma"/>
            <family val="0"/>
          </rPr>
          <t xml:space="preserve">
income tax/
pretax income
</t>
        </r>
      </text>
    </comment>
  </commentList>
</comments>
</file>

<file path=xl/sharedStrings.xml><?xml version="1.0" encoding="utf-8"?>
<sst xmlns="http://schemas.openxmlformats.org/spreadsheetml/2006/main" count="108" uniqueCount="89">
  <si>
    <t>Dell</t>
  </si>
  <si>
    <t>Financial Forecasting</t>
  </si>
  <si>
    <t>*Figures obtained from MSN Money*</t>
  </si>
  <si>
    <t>Period Ending</t>
  </si>
  <si>
    <t>Income Statement</t>
  </si>
  <si>
    <t>Sales</t>
  </si>
  <si>
    <t>Cost of Goods Sold</t>
  </si>
  <si>
    <t>*Figures in Millions*</t>
  </si>
  <si>
    <t>Gross Op Profit</t>
  </si>
  <si>
    <r>
      <t xml:space="preserve">1.) </t>
    </r>
    <r>
      <rPr>
        <sz val="10"/>
        <rFont val="Arial"/>
        <family val="0"/>
      </rPr>
      <t>Sales Growth Rate:</t>
    </r>
  </si>
  <si>
    <t>Average Sales Growth Rate:</t>
  </si>
  <si>
    <r>
      <t>2.)</t>
    </r>
    <r>
      <rPr>
        <sz val="10"/>
        <rFont val="Arial"/>
        <family val="2"/>
      </rPr>
      <t xml:space="preserve"> Operating Profit Margin</t>
    </r>
  </si>
  <si>
    <t>Sell, Gen, &amp; Admin Exp</t>
  </si>
  <si>
    <t>Depreciation &amp; Amortization</t>
  </si>
  <si>
    <t>EBIT</t>
  </si>
  <si>
    <t>Other Income, Net</t>
  </si>
  <si>
    <t>Income Avail for Interest Expense</t>
  </si>
  <si>
    <t>Interest Expense</t>
  </si>
  <si>
    <t>Pre Tax Income</t>
  </si>
  <si>
    <t>Income Taxes</t>
  </si>
  <si>
    <t>Net Income</t>
  </si>
  <si>
    <t>Tax Rate for DELL</t>
  </si>
  <si>
    <r>
      <t>3.)</t>
    </r>
    <r>
      <rPr>
        <sz val="10"/>
        <rFont val="Arial"/>
        <family val="2"/>
      </rPr>
      <t xml:space="preserve"> Cash Tax Rate</t>
    </r>
  </si>
  <si>
    <t>Less: Increase in Defer Tax</t>
  </si>
  <si>
    <t>Plus: Tax Sav from Interest</t>
  </si>
  <si>
    <t>Cash Op Tax</t>
  </si>
  <si>
    <t>Cash Tax Rate</t>
  </si>
  <si>
    <t>Average Op Profit Margin:</t>
  </si>
  <si>
    <t>Average Tax Rate:</t>
  </si>
  <si>
    <r>
      <t>4.)</t>
    </r>
    <r>
      <rPr>
        <sz val="10"/>
        <rFont val="Arial"/>
        <family val="2"/>
      </rPr>
      <t xml:space="preserve"> Additional Working Capital Req.</t>
    </r>
  </si>
  <si>
    <t>Balance Sheet</t>
  </si>
  <si>
    <t>Assets:</t>
  </si>
  <si>
    <t>Current Assets</t>
  </si>
  <si>
    <t>Cash</t>
  </si>
  <si>
    <t>Receivables</t>
  </si>
  <si>
    <t>Inventories</t>
  </si>
  <si>
    <t>Other Current Assets</t>
  </si>
  <si>
    <t>Total Current Assets</t>
  </si>
  <si>
    <t>Non Current Assets</t>
  </si>
  <si>
    <t>PP&amp;E Gross</t>
  </si>
  <si>
    <t>Accum Depr&amp;Deplet</t>
  </si>
  <si>
    <t>PP&amp;E Net</t>
  </si>
  <si>
    <t>Other Non Curr Asset</t>
  </si>
  <si>
    <t>Total Non Curr Assets</t>
  </si>
  <si>
    <t>Total Assets</t>
  </si>
  <si>
    <t>Liab &amp; Shrhldr's Eqty</t>
  </si>
  <si>
    <t>Curr Liabilities</t>
  </si>
  <si>
    <t>Accounts Payable</t>
  </si>
  <si>
    <t>Short Term Debt</t>
  </si>
  <si>
    <t>Other Curr Liab.</t>
  </si>
  <si>
    <t>Total Curr Liabilities</t>
  </si>
  <si>
    <t>Non Curr Liabilities</t>
  </si>
  <si>
    <t>Long Term Debt</t>
  </si>
  <si>
    <t>Other Non Curr Liab</t>
  </si>
  <si>
    <t>Total Non Curr Liab</t>
  </si>
  <si>
    <t>Total Liabilities</t>
  </si>
  <si>
    <t>Shrhldr's Equity</t>
  </si>
  <si>
    <t xml:space="preserve">CS Equity </t>
  </si>
  <si>
    <t>Total Equity</t>
  </si>
  <si>
    <t>Total Liab and Equity</t>
  </si>
  <si>
    <t>Net Working Capital</t>
  </si>
  <si>
    <t>Working Cap as % of Sales</t>
  </si>
  <si>
    <t>Average Increase in Capital</t>
  </si>
  <si>
    <r>
      <t>5.)</t>
    </r>
    <r>
      <rPr>
        <sz val="10"/>
        <rFont val="Arial"/>
        <family val="2"/>
      </rPr>
      <t xml:space="preserve"> Additional Fixed Asset Req.</t>
    </r>
  </si>
  <si>
    <t>PP&amp;E - Fixed Asset</t>
  </si>
  <si>
    <t>Fixed Assets as % of Sales</t>
  </si>
  <si>
    <t>Average Increase in Fixed Asset</t>
  </si>
  <si>
    <t>Revenue</t>
  </si>
  <si>
    <t>Operating Profit Margin</t>
  </si>
  <si>
    <t>Cash Taxes</t>
  </si>
  <si>
    <t>Net Op Profit Less Adj Tax (NOPLAT)</t>
  </si>
  <si>
    <t>Working Capital at Beginning of Year</t>
  </si>
  <si>
    <t>Working Capital Required</t>
  </si>
  <si>
    <t>Net Additional Working Cap Req.</t>
  </si>
  <si>
    <t>Fixed Assets Required</t>
  </si>
  <si>
    <t>Fixed Assets at Beginning of Year</t>
  </si>
  <si>
    <t>Additional Fixed Assets Required</t>
  </si>
  <si>
    <t>Free Cash Flow</t>
  </si>
  <si>
    <t>Revenue Growth</t>
  </si>
  <si>
    <t>Working Cap to Sales</t>
  </si>
  <si>
    <t>PP&amp;E to Sales</t>
  </si>
  <si>
    <t>Assumptions for Forecast</t>
  </si>
  <si>
    <t xml:space="preserve">Note: Since Dell has positive cash flows during all five years, there is no need for external financing </t>
  </si>
  <si>
    <t>Projected Cash Flows</t>
  </si>
  <si>
    <t>Discount Rate (WACC)</t>
  </si>
  <si>
    <t>Discounted Cash Flows (PV)</t>
  </si>
  <si>
    <t>Total</t>
  </si>
  <si>
    <t>Value of the Firm</t>
  </si>
  <si>
    <t>Price per Share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</si>
</sst>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_);_(* \(#,##0.0\);_(* &quot;-&quot;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166" fontId="0" fillId="0" borderId="0" xfId="15" applyNumberFormat="1" applyAlignment="1">
      <alignment/>
    </xf>
    <xf numFmtId="167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0" borderId="2" xfId="0" applyBorder="1" applyAlignment="1">
      <alignment/>
    </xf>
    <xf numFmtId="166" fontId="0" fillId="0" borderId="2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0" fontId="6" fillId="0" borderId="3" xfId="0" applyFont="1" applyBorder="1" applyAlignment="1">
      <alignment/>
    </xf>
    <xf numFmtId="166" fontId="6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10" fontId="6" fillId="0" borderId="0" xfId="19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15" applyNumberFormat="1" applyFont="1" applyAlignment="1">
      <alignment/>
    </xf>
    <xf numFmtId="166" fontId="0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Border="1" applyAlignment="1">
      <alignment/>
    </xf>
    <xf numFmtId="166" fontId="6" fillId="0" borderId="3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166" fontId="3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6" fontId="3" fillId="0" borderId="0" xfId="15" applyNumberFormat="1" applyFont="1" applyBorder="1" applyAlignment="1">
      <alignment/>
    </xf>
    <xf numFmtId="0" fontId="2" fillId="0" borderId="5" xfId="0" applyFont="1" applyBorder="1" applyAlignment="1">
      <alignment/>
    </xf>
    <xf numFmtId="10" fontId="2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66" fontId="7" fillId="0" borderId="0" xfId="15" applyNumberFormat="1" applyFont="1" applyAlignment="1">
      <alignment/>
    </xf>
    <xf numFmtId="167" fontId="7" fillId="0" borderId="0" xfId="19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7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44" fontId="2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3" width="9.00390625" style="0" customWidth="1"/>
    <col min="4" max="4" width="8.57421875" style="0" customWidth="1"/>
    <col min="6" max="6" width="22.00390625" style="0" customWidth="1"/>
    <col min="7" max="7" width="8.8515625" style="0" customWidth="1"/>
    <col min="8" max="8" width="9.7109375" style="0" customWidth="1"/>
    <col min="9" max="9" width="8.8515625" style="0" customWidth="1"/>
  </cols>
  <sheetData>
    <row r="1" ht="15.75">
      <c r="A1" s="2" t="s">
        <v>0</v>
      </c>
    </row>
    <row r="2" ht="15">
      <c r="A2" s="1" t="s">
        <v>1</v>
      </c>
    </row>
    <row r="3" ht="12.75">
      <c r="A3" t="s">
        <v>2</v>
      </c>
    </row>
    <row r="4" ht="12.75">
      <c r="A4" t="s">
        <v>7</v>
      </c>
    </row>
    <row r="5" ht="13.5" thickBot="1"/>
    <row r="6" spans="1:6" ht="13.5" thickBot="1">
      <c r="A6" s="14" t="s">
        <v>4</v>
      </c>
      <c r="F6" s="14" t="s">
        <v>30</v>
      </c>
    </row>
    <row r="7" spans="1:9" ht="16.5" thickBot="1">
      <c r="A7" s="3" t="s">
        <v>3</v>
      </c>
      <c r="B7" s="3">
        <v>2005</v>
      </c>
      <c r="C7" s="3">
        <v>2004</v>
      </c>
      <c r="D7" s="3">
        <v>2003</v>
      </c>
      <c r="F7" s="3" t="s">
        <v>3</v>
      </c>
      <c r="G7" s="3">
        <v>2005</v>
      </c>
      <c r="H7" s="3">
        <v>2004</v>
      </c>
      <c r="I7" s="3">
        <v>2003</v>
      </c>
    </row>
    <row r="8" spans="1:6" ht="12.75">
      <c r="A8" t="s">
        <v>5</v>
      </c>
      <c r="B8" s="5">
        <v>49205</v>
      </c>
      <c r="C8" s="5">
        <v>41444</v>
      </c>
      <c r="D8" s="5">
        <v>35404</v>
      </c>
      <c r="F8" s="19" t="s">
        <v>31</v>
      </c>
    </row>
    <row r="9" spans="1:6" ht="12.75">
      <c r="A9" s="8" t="s">
        <v>6</v>
      </c>
      <c r="B9" s="9">
        <v>39856</v>
      </c>
      <c r="C9" s="9">
        <v>33629</v>
      </c>
      <c r="D9" s="9">
        <v>28844</v>
      </c>
      <c r="F9" s="18" t="s">
        <v>32</v>
      </c>
    </row>
    <row r="10" spans="1:9" ht="12.75">
      <c r="A10" t="s">
        <v>8</v>
      </c>
      <c r="B10" s="5">
        <f>B8-B9</f>
        <v>9349</v>
      </c>
      <c r="C10" s="5">
        <f>C8-C9</f>
        <v>7815</v>
      </c>
      <c r="D10" s="5">
        <f>D8-D9</f>
        <v>6560</v>
      </c>
      <c r="F10" t="s">
        <v>33</v>
      </c>
      <c r="G10" s="5">
        <v>4747</v>
      </c>
      <c r="H10" s="5">
        <v>4317</v>
      </c>
      <c r="I10" s="5">
        <v>4232</v>
      </c>
    </row>
    <row r="11" spans="1:9" ht="12.75">
      <c r="A11" t="s">
        <v>12</v>
      </c>
      <c r="B11" s="5">
        <v>4761</v>
      </c>
      <c r="C11" s="5">
        <v>4008</v>
      </c>
      <c r="D11" s="5">
        <v>3505</v>
      </c>
      <c r="F11" t="s">
        <v>34</v>
      </c>
      <c r="G11" s="20">
        <v>4414</v>
      </c>
      <c r="H11" s="20">
        <v>3635</v>
      </c>
      <c r="I11" s="20">
        <v>2586</v>
      </c>
    </row>
    <row r="12" spans="1:9" ht="12.75">
      <c r="A12" s="8" t="s">
        <v>13</v>
      </c>
      <c r="B12" s="9">
        <v>334</v>
      </c>
      <c r="C12" s="9">
        <v>263</v>
      </c>
      <c r="D12" s="9">
        <v>211</v>
      </c>
      <c r="F12" t="s">
        <v>35</v>
      </c>
      <c r="G12" s="21">
        <v>459</v>
      </c>
      <c r="H12" s="21">
        <v>327</v>
      </c>
      <c r="I12" s="21">
        <v>306</v>
      </c>
    </row>
    <row r="13" spans="1:9" ht="12.75">
      <c r="A13" t="s">
        <v>14</v>
      </c>
      <c r="B13" s="5">
        <f>B10-B11-B12</f>
        <v>4254</v>
      </c>
      <c r="C13" s="5">
        <f>C10-C11-C12</f>
        <v>3544</v>
      </c>
      <c r="D13" s="5">
        <f>D10-D11-D12</f>
        <v>2844</v>
      </c>
      <c r="F13" s="8" t="s">
        <v>36</v>
      </c>
      <c r="G13" s="9">
        <v>7277</v>
      </c>
      <c r="H13" s="9">
        <v>2354</v>
      </c>
      <c r="I13" s="9">
        <v>1800</v>
      </c>
    </row>
    <row r="14" spans="1:9" ht="12.75">
      <c r="A14" s="8" t="s">
        <v>15</v>
      </c>
      <c r="B14" s="9">
        <v>191</v>
      </c>
      <c r="C14" s="9">
        <v>194</v>
      </c>
      <c r="D14" s="9">
        <v>200</v>
      </c>
      <c r="F14" t="s">
        <v>37</v>
      </c>
      <c r="G14" s="5">
        <f>G10+G11+G12+G13</f>
        <v>16897</v>
      </c>
      <c r="H14" s="5">
        <f>H10+H11+H12+H13</f>
        <v>10633</v>
      </c>
      <c r="I14" s="5">
        <f>I10+I11+I12+I13</f>
        <v>8924</v>
      </c>
    </row>
    <row r="15" spans="1:9" ht="12.75">
      <c r="A15" t="s">
        <v>16</v>
      </c>
      <c r="B15" s="5">
        <f>B13+B14</f>
        <v>4445</v>
      </c>
      <c r="C15" s="5">
        <f>C13+C14</f>
        <v>3738</v>
      </c>
      <c r="D15" s="5">
        <f>D13+D14</f>
        <v>3044</v>
      </c>
      <c r="G15" s="5"/>
      <c r="H15" s="5"/>
      <c r="I15" s="5"/>
    </row>
    <row r="16" spans="1:9" ht="12.75">
      <c r="A16" s="8" t="s">
        <v>17</v>
      </c>
      <c r="B16" s="9"/>
      <c r="C16" s="9">
        <v>14</v>
      </c>
      <c r="D16" s="9">
        <v>17</v>
      </c>
      <c r="F16" s="18" t="s">
        <v>38</v>
      </c>
      <c r="G16" s="5"/>
      <c r="H16" s="5"/>
      <c r="I16" s="5"/>
    </row>
    <row r="17" spans="1:9" ht="12.75">
      <c r="A17" t="s">
        <v>18</v>
      </c>
      <c r="B17" s="10">
        <f>B15-B16</f>
        <v>4445</v>
      </c>
      <c r="C17" s="10">
        <f>C15-C16</f>
        <v>3724</v>
      </c>
      <c r="D17" s="10">
        <f>D15-D16</f>
        <v>3027</v>
      </c>
      <c r="F17" t="s">
        <v>39</v>
      </c>
      <c r="G17" s="5">
        <v>3017</v>
      </c>
      <c r="H17" s="5">
        <v>2650</v>
      </c>
      <c r="I17" s="5">
        <v>1662</v>
      </c>
    </row>
    <row r="18" spans="1:9" ht="12.75">
      <c r="A18" s="8" t="s">
        <v>19</v>
      </c>
      <c r="B18" s="11">
        <v>1402</v>
      </c>
      <c r="C18" s="11">
        <v>1079</v>
      </c>
      <c r="D18" s="11">
        <f>D17*D21</f>
        <v>905.073</v>
      </c>
      <c r="F18" s="8" t="s">
        <v>40</v>
      </c>
      <c r="G18" s="9">
        <v>1326</v>
      </c>
      <c r="H18" s="9">
        <v>1133</v>
      </c>
      <c r="I18" s="9">
        <v>749</v>
      </c>
    </row>
    <row r="19" spans="1:9" ht="15.75" thickBot="1">
      <c r="A19" s="12" t="s">
        <v>20</v>
      </c>
      <c r="B19" s="13">
        <f>B17-B18</f>
        <v>3043</v>
      </c>
      <c r="C19" s="13">
        <f>C17-C18</f>
        <v>2645</v>
      </c>
      <c r="D19" s="13">
        <f>D17-D18</f>
        <v>2121.927</v>
      </c>
      <c r="F19" t="s">
        <v>41</v>
      </c>
      <c r="G19" s="5">
        <f>G17-G18</f>
        <v>1691</v>
      </c>
      <c r="H19" s="5">
        <f>H17-H18</f>
        <v>1517</v>
      </c>
      <c r="I19" s="5">
        <f>I17-I18</f>
        <v>913</v>
      </c>
    </row>
    <row r="20" spans="6:9" ht="13.5" thickTop="1">
      <c r="F20" s="8" t="s">
        <v>42</v>
      </c>
      <c r="G20" s="9">
        <v>4627</v>
      </c>
      <c r="H20" s="9">
        <v>7161</v>
      </c>
      <c r="I20" s="9">
        <v>5633</v>
      </c>
    </row>
    <row r="21" spans="1:9" ht="12.75">
      <c r="A21" t="s">
        <v>21</v>
      </c>
      <c r="B21" s="6">
        <v>0.315</v>
      </c>
      <c r="C21" s="6">
        <v>0.29</v>
      </c>
      <c r="D21" s="6">
        <v>0.299</v>
      </c>
      <c r="F21" t="s">
        <v>43</v>
      </c>
      <c r="G21" s="5">
        <f>G19+G20</f>
        <v>6318</v>
      </c>
      <c r="H21" s="5">
        <f>H19+H20</f>
        <v>8678</v>
      </c>
      <c r="I21" s="5">
        <f>I19+I20</f>
        <v>6546</v>
      </c>
    </row>
    <row r="22" spans="6:9" ht="12.75">
      <c r="F22" s="22"/>
      <c r="G22" s="23"/>
      <c r="H22" s="23"/>
      <c r="I22" s="23"/>
    </row>
    <row r="23" spans="6:9" ht="15.75" thickBot="1">
      <c r="F23" s="12" t="s">
        <v>44</v>
      </c>
      <c r="G23" s="24">
        <f>G14+G21</f>
        <v>23215</v>
      </c>
      <c r="H23" s="24">
        <f>H14+H21</f>
        <v>19311</v>
      </c>
      <c r="I23" s="24">
        <f>I14+I21</f>
        <v>15470</v>
      </c>
    </row>
    <row r="24" spans="7:9" ht="13.5" thickTop="1">
      <c r="G24" s="5"/>
      <c r="H24" s="5"/>
      <c r="I24" s="5"/>
    </row>
    <row r="25" ht="12.75">
      <c r="F25" t="s">
        <v>45</v>
      </c>
    </row>
    <row r="26" ht="12.75">
      <c r="F26" s="18" t="s">
        <v>46</v>
      </c>
    </row>
    <row r="27" spans="6:9" ht="12.75">
      <c r="F27" t="s">
        <v>47</v>
      </c>
      <c r="G27" s="5">
        <v>8895</v>
      </c>
      <c r="H27" s="5">
        <v>7316</v>
      </c>
      <c r="I27" s="5">
        <v>5989</v>
      </c>
    </row>
    <row r="28" spans="6:9" ht="12.75">
      <c r="F28" t="s">
        <v>48</v>
      </c>
      <c r="G28" s="5">
        <v>0</v>
      </c>
      <c r="H28" s="5">
        <v>0</v>
      </c>
      <c r="I28" s="5">
        <v>0</v>
      </c>
    </row>
    <row r="29" spans="6:9" ht="12.75">
      <c r="F29" s="8" t="s">
        <v>49</v>
      </c>
      <c r="G29" s="9">
        <v>5241</v>
      </c>
      <c r="H29" s="9">
        <v>3580</v>
      </c>
      <c r="I29" s="9">
        <v>2944</v>
      </c>
    </row>
    <row r="30" spans="6:9" ht="12.75">
      <c r="F30" t="s">
        <v>50</v>
      </c>
      <c r="G30" s="5">
        <f>G27+G28+G29</f>
        <v>14136</v>
      </c>
      <c r="H30" s="5">
        <f>H27+H28+H29</f>
        <v>10896</v>
      </c>
      <c r="I30" s="5">
        <f>I27+I28+I29</f>
        <v>8933</v>
      </c>
    </row>
    <row r="31" spans="6:9" ht="12.75">
      <c r="F31" s="18" t="s">
        <v>51</v>
      </c>
      <c r="G31" s="5"/>
      <c r="H31" s="5"/>
      <c r="I31" s="5"/>
    </row>
    <row r="32" spans="6:9" ht="12.75">
      <c r="F32" t="s">
        <v>52</v>
      </c>
      <c r="G32" s="5">
        <v>505</v>
      </c>
      <c r="H32" s="5">
        <v>505</v>
      </c>
      <c r="I32" s="5">
        <v>506</v>
      </c>
    </row>
    <row r="33" spans="6:9" ht="12.75">
      <c r="F33" s="8" t="s">
        <v>53</v>
      </c>
      <c r="G33" s="9">
        <v>2089</v>
      </c>
      <c r="H33" s="9">
        <v>1630</v>
      </c>
      <c r="I33" s="9">
        <v>1158</v>
      </c>
    </row>
    <row r="34" spans="6:9" ht="12.75">
      <c r="F34" t="s">
        <v>54</v>
      </c>
      <c r="G34" s="5">
        <f>G32+G33</f>
        <v>2594</v>
      </c>
      <c r="H34" s="5">
        <f>H32+H33</f>
        <v>2135</v>
      </c>
      <c r="I34" s="5">
        <f>I32+I33</f>
        <v>1664</v>
      </c>
    </row>
    <row r="35" spans="7:9" ht="12.75">
      <c r="G35" s="5"/>
      <c r="H35" s="5"/>
      <c r="I35" s="5"/>
    </row>
    <row r="36" spans="6:9" ht="12.75">
      <c r="F36" t="s">
        <v>55</v>
      </c>
      <c r="G36" s="5">
        <f>G30+G34</f>
        <v>16730</v>
      </c>
      <c r="H36" s="5">
        <f>H30+H34</f>
        <v>13031</v>
      </c>
      <c r="I36" s="5">
        <f>I30+I34</f>
        <v>10597</v>
      </c>
    </row>
    <row r="37" spans="6:9" ht="12.75">
      <c r="F37" s="19"/>
      <c r="G37" s="5"/>
      <c r="H37" s="5"/>
      <c r="I37" s="5"/>
    </row>
    <row r="38" spans="6:9" ht="12.75">
      <c r="F38" s="18" t="s">
        <v>56</v>
      </c>
      <c r="G38" s="5"/>
      <c r="H38" s="5"/>
      <c r="I38" s="5"/>
    </row>
    <row r="39" spans="6:9" ht="12.75">
      <c r="F39" t="s">
        <v>57</v>
      </c>
      <c r="G39" s="5">
        <v>6485</v>
      </c>
      <c r="H39" s="5">
        <v>6280</v>
      </c>
      <c r="I39" s="5">
        <v>4873</v>
      </c>
    </row>
    <row r="40" spans="6:9" ht="12.75">
      <c r="F40" t="s">
        <v>58</v>
      </c>
      <c r="G40" s="5">
        <f>G39</f>
        <v>6485</v>
      </c>
      <c r="H40" s="5">
        <f>H39</f>
        <v>6280</v>
      </c>
      <c r="I40" s="5">
        <f>I39</f>
        <v>4873</v>
      </c>
    </row>
    <row r="42" spans="6:9" ht="15.75" thickBot="1">
      <c r="F42" s="12" t="s">
        <v>59</v>
      </c>
      <c r="G42" s="13">
        <f>G36+G40</f>
        <v>23215</v>
      </c>
      <c r="H42" s="13">
        <f>H36+H40</f>
        <v>19311</v>
      </c>
      <c r="I42" s="13">
        <f>I36+I40</f>
        <v>15470</v>
      </c>
    </row>
    <row r="43" ht="13.5" thickTop="1"/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0">
      <selection activeCell="A1" sqref="A1"/>
    </sheetView>
  </sheetViews>
  <sheetFormatPr defaultColWidth="9.140625" defaultRowHeight="12.75"/>
  <cols>
    <col min="1" max="1" width="31.140625" style="0" customWidth="1"/>
    <col min="2" max="2" width="12.00390625" style="0" customWidth="1"/>
    <col min="3" max="3" width="11.28125" style="0" customWidth="1"/>
    <col min="4" max="4" width="12.00390625" style="0" customWidth="1"/>
    <col min="6" max="6" width="26.8515625" style="0" customWidth="1"/>
  </cols>
  <sheetData>
    <row r="1" ht="15.75">
      <c r="A1" s="2" t="s">
        <v>0</v>
      </c>
    </row>
    <row r="2" ht="15">
      <c r="A2" s="1" t="s">
        <v>1</v>
      </c>
    </row>
    <row r="3" ht="12.75">
      <c r="A3" t="s">
        <v>2</v>
      </c>
    </row>
    <row r="4" ht="12.75">
      <c r="A4" t="s">
        <v>7</v>
      </c>
    </row>
    <row r="6" spans="1:4" ht="16.5" thickBot="1">
      <c r="A6" s="3" t="s">
        <v>3</v>
      </c>
      <c r="B6" s="3">
        <v>2005</v>
      </c>
      <c r="C6" s="3">
        <v>2004</v>
      </c>
      <c r="D6" s="3">
        <v>2003</v>
      </c>
    </row>
    <row r="7" ht="12.75">
      <c r="A7" s="4"/>
    </row>
    <row r="8" spans="1:3" ht="12.75">
      <c r="A8" s="4" t="s">
        <v>9</v>
      </c>
      <c r="B8" s="7">
        <f>(' Fin Historic'!B8/' Fin Historic'!C8)-1</f>
        <v>0.18726474278544547</v>
      </c>
      <c r="C8" s="7">
        <f>(' Fin Historic'!C8/' Fin Historic'!D8)-1</f>
        <v>0.17060219184272962</v>
      </c>
    </row>
    <row r="9" spans="1:3" ht="15">
      <c r="A9" s="17" t="s">
        <v>10</v>
      </c>
      <c r="B9" s="16">
        <f>(B8+C8)/2</f>
        <v>0.17893346731408755</v>
      </c>
      <c r="C9" s="7"/>
    </row>
    <row r="11" spans="1:6" ht="15.75" thickBot="1">
      <c r="A11" s="4" t="s">
        <v>11</v>
      </c>
      <c r="B11" s="7">
        <f>' Fin Historic'!B13/' Fin Historic'!B8</f>
        <v>0.08645462859465501</v>
      </c>
      <c r="C11" s="7">
        <f>' Fin Historic'!C13/' Fin Historic'!C8</f>
        <v>0.0855129813724544</v>
      </c>
      <c r="D11" s="7">
        <f>' Fin Historic'!D13/' Fin Historic'!D8</f>
        <v>0.08032990622528528</v>
      </c>
      <c r="F11" s="35" t="s">
        <v>81</v>
      </c>
    </row>
    <row r="12" spans="1:6" ht="15">
      <c r="A12" s="17" t="s">
        <v>27</v>
      </c>
      <c r="B12" s="16">
        <f>(B11+C11+D11)/3</f>
        <v>0.08409917206413157</v>
      </c>
      <c r="C12" s="7"/>
      <c r="D12" s="7"/>
      <c r="F12" s="34"/>
    </row>
    <row r="13" spans="6:7" ht="15.75">
      <c r="F13" s="32" t="s">
        <v>78</v>
      </c>
      <c r="G13" s="33">
        <f>B9</f>
        <v>0.17893346731408755</v>
      </c>
    </row>
    <row r="14" spans="1:7" ht="15.75">
      <c r="A14" s="4" t="s">
        <v>22</v>
      </c>
      <c r="F14" s="32"/>
      <c r="G14" s="32"/>
    </row>
    <row r="15" spans="1:7" ht="15.75">
      <c r="A15" t="s">
        <v>19</v>
      </c>
      <c r="B15" s="5">
        <f>' Fin Historic'!B18</f>
        <v>1402</v>
      </c>
      <c r="C15" s="5">
        <f>' Fin Historic'!C18</f>
        <v>1079</v>
      </c>
      <c r="D15" s="5">
        <f>' Fin Historic'!D18</f>
        <v>905.073</v>
      </c>
      <c r="F15" s="32" t="s">
        <v>68</v>
      </c>
      <c r="G15" s="33">
        <f>B12</f>
        <v>0.08409917206413157</v>
      </c>
    </row>
    <row r="16" spans="1:7" ht="15.75">
      <c r="A16" t="s">
        <v>23</v>
      </c>
      <c r="B16" s="5">
        <v>0</v>
      </c>
      <c r="C16" s="5">
        <v>0</v>
      </c>
      <c r="D16" s="5">
        <v>0</v>
      </c>
      <c r="F16" s="32"/>
      <c r="G16" s="32"/>
    </row>
    <row r="17" spans="1:7" ht="15.75">
      <c r="A17" s="8" t="s">
        <v>24</v>
      </c>
      <c r="B17" s="9">
        <v>0</v>
      </c>
      <c r="C17" s="9">
        <v>4</v>
      </c>
      <c r="D17" s="9">
        <v>5</v>
      </c>
      <c r="F17" s="32" t="s">
        <v>26</v>
      </c>
      <c r="G17" s="33">
        <f>B20</f>
        <v>0.3183855378330045</v>
      </c>
    </row>
    <row r="18" spans="1:7" ht="15.75">
      <c r="A18" t="s">
        <v>25</v>
      </c>
      <c r="B18" s="5">
        <f>B15+B16+B17</f>
        <v>1402</v>
      </c>
      <c r="C18" s="5">
        <f>C15+C16+C17</f>
        <v>1083</v>
      </c>
      <c r="D18" s="5">
        <f>D15+D16+D17</f>
        <v>910.073</v>
      </c>
      <c r="F18" s="32"/>
      <c r="G18" s="32"/>
    </row>
    <row r="19" spans="1:7" ht="15.75">
      <c r="A19" s="15" t="s">
        <v>26</v>
      </c>
      <c r="B19" s="7">
        <f>B18/' Fin Historic'!B13</f>
        <v>0.32957216737188527</v>
      </c>
      <c r="C19" s="7">
        <f>C18/' Fin Historic'!C13</f>
        <v>0.3055869074492099</v>
      </c>
      <c r="D19" s="7">
        <f>D18/' Fin Historic'!D13</f>
        <v>0.3199975386779184</v>
      </c>
      <c r="F19" s="32" t="s">
        <v>79</v>
      </c>
      <c r="G19" s="33">
        <f>B25</f>
        <v>0.016504020866819822</v>
      </c>
    </row>
    <row r="20" spans="1:7" ht="15.75">
      <c r="A20" s="17" t="s">
        <v>28</v>
      </c>
      <c r="B20" s="16">
        <f>(B19+C19+D19)/3</f>
        <v>0.3183855378330045</v>
      </c>
      <c r="F20" s="32"/>
      <c r="G20" s="32"/>
    </row>
    <row r="21" spans="6:7" ht="15.75">
      <c r="F21" s="32" t="s">
        <v>80</v>
      </c>
      <c r="G21" s="33">
        <f>B30</f>
        <v>0.03225269413826618</v>
      </c>
    </row>
    <row r="22" ht="12.75">
      <c r="A22" s="4" t="s">
        <v>29</v>
      </c>
    </row>
    <row r="23" spans="1:4" ht="12.75">
      <c r="A23" t="s">
        <v>60</v>
      </c>
      <c r="B23" s="5">
        <f>' Fin Historic'!G14-' Fin Historic'!G30</f>
        <v>2761</v>
      </c>
      <c r="C23" s="5">
        <f>' Fin Historic'!H14-' Fin Historic'!H30</f>
        <v>-263</v>
      </c>
      <c r="D23" s="5">
        <f>' Fin Historic'!I14-' Fin Historic'!I30</f>
        <v>-9</v>
      </c>
    </row>
    <row r="24" spans="1:4" ht="12.75">
      <c r="A24" t="s">
        <v>61</v>
      </c>
      <c r="B24" s="7">
        <f>B23/' Fin Historic'!B8</f>
        <v>0.056112183721166546</v>
      </c>
      <c r="C24" s="7">
        <f>C23/' Fin Historic'!C8</f>
        <v>-0.006345912556703021</v>
      </c>
      <c r="D24" s="7">
        <f>D23/' Fin Historic'!D8</f>
        <v>-0.0002542085640040673</v>
      </c>
    </row>
    <row r="25" spans="1:2" ht="15">
      <c r="A25" s="17" t="s">
        <v>62</v>
      </c>
      <c r="B25" s="16">
        <f>(B24+C24+D24)/3</f>
        <v>0.016504020866819822</v>
      </c>
    </row>
    <row r="27" ht="12.75">
      <c r="A27" s="4" t="s">
        <v>63</v>
      </c>
    </row>
    <row r="28" spans="1:4" ht="12.75">
      <c r="A28" t="s">
        <v>64</v>
      </c>
      <c r="B28">
        <f>' Fin Historic'!G19</f>
        <v>1691</v>
      </c>
      <c r="C28">
        <f>' Fin Historic'!H19</f>
        <v>1517</v>
      </c>
      <c r="D28">
        <f>' Fin Historic'!I19</f>
        <v>913</v>
      </c>
    </row>
    <row r="29" spans="1:4" ht="12.75">
      <c r="A29" t="s">
        <v>65</v>
      </c>
      <c r="B29" s="7">
        <f>B28/' Fin Historic'!B8</f>
        <v>0.03436642617620161</v>
      </c>
      <c r="C29" s="7">
        <f>C28/' Fin Historic'!C8</f>
        <v>0.03660360969018434</v>
      </c>
      <c r="D29" s="7">
        <f>D28/' Fin Historic'!D8</f>
        <v>0.02578804654841261</v>
      </c>
    </row>
    <row r="30" spans="1:4" ht="15">
      <c r="A30" s="17" t="s">
        <v>66</v>
      </c>
      <c r="B30" s="16">
        <f>(B29+C29+D29)/3</f>
        <v>0.03225269413826618</v>
      </c>
      <c r="C30" s="7"/>
      <c r="D30" s="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4" sqref="C4"/>
    </sheetView>
  </sheetViews>
  <sheetFormatPr defaultColWidth="9.140625" defaultRowHeight="12.75"/>
  <cols>
    <col min="1" max="1" width="33.28125" style="0" customWidth="1"/>
    <col min="2" max="2" width="10.00390625" style="0" customWidth="1"/>
    <col min="3" max="5" width="10.28125" style="0" customWidth="1"/>
    <col min="6" max="6" width="9.8515625" style="0" customWidth="1"/>
  </cols>
  <sheetData>
    <row r="1" ht="15.75">
      <c r="A1" s="2" t="s">
        <v>0</v>
      </c>
    </row>
    <row r="2" ht="15">
      <c r="A2" s="1" t="s">
        <v>1</v>
      </c>
    </row>
    <row r="3" ht="12.75">
      <c r="A3" t="s">
        <v>2</v>
      </c>
    </row>
    <row r="4" ht="12.75">
      <c r="A4" t="s">
        <v>7</v>
      </c>
    </row>
    <row r="6" spans="1:6" ht="16.5" thickBot="1">
      <c r="A6" s="3" t="s">
        <v>3</v>
      </c>
      <c r="B6" s="3">
        <v>2006</v>
      </c>
      <c r="C6" s="3">
        <v>2007</v>
      </c>
      <c r="D6" s="3">
        <v>2008</v>
      </c>
      <c r="E6" s="3">
        <v>2009</v>
      </c>
      <c r="F6" s="3">
        <v>2010</v>
      </c>
    </row>
    <row r="7" spans="1:6" ht="12.75">
      <c r="A7" t="s">
        <v>67</v>
      </c>
      <c r="B7" s="5">
        <f>' Fin Historic'!B8*(1+Assumptions!B9)</f>
        <v>58009.42125918969</v>
      </c>
      <c r="C7" s="5">
        <f>B7*(1+Assumptions!B9)</f>
        <v>68389.24814198005</v>
      </c>
      <c r="D7" s="5">
        <f>C7*(1+Assumptions!B9)</f>
        <v>80626.37343902806</v>
      </c>
      <c r="E7" s="5">
        <f>D7*(1+Assumptions!B9)</f>
        <v>95053.12999543382</v>
      </c>
      <c r="F7" s="5">
        <f>E7*(1+Assumptions!B9)</f>
        <v>112061.3161245735</v>
      </c>
    </row>
    <row r="8" spans="1:6" ht="12.75">
      <c r="A8" t="s">
        <v>68</v>
      </c>
      <c r="B8" s="5">
        <f>B7*Assumptions!$B$12</f>
        <v>4878.544299817286</v>
      </c>
      <c r="C8" s="5">
        <f>C7*Assumptions!$B$12</f>
        <v>5751.47914682897</v>
      </c>
      <c r="D8" s="5">
        <f>D7*Assumptions!$B$12</f>
        <v>6780.611252755749</v>
      </c>
      <c r="E8" s="5">
        <f>E7*Assumptions!$B$12</f>
        <v>7993.889534720255</v>
      </c>
      <c r="F8" s="5">
        <f>F7*Assumptions!$B$12</f>
        <v>9424.263906493548</v>
      </c>
    </row>
    <row r="9" spans="1:6" ht="12.75">
      <c r="A9" s="8" t="s">
        <v>69</v>
      </c>
      <c r="B9" s="9">
        <f>B8*Assumptions!$B$20</f>
        <v>1553.2579507394648</v>
      </c>
      <c r="C9" s="9">
        <f>C8*Assumptions!$B$20</f>
        <v>1831.1877814984516</v>
      </c>
      <c r="D9" s="9">
        <f>D8*Assumptions!$B$20</f>
        <v>2158.8485605451615</v>
      </c>
      <c r="E9" s="9">
        <f>E8*Assumptions!$B$20</f>
        <v>2545.1388188895344</v>
      </c>
      <c r="F9" s="9">
        <f>F8*Assumptions!$B$20</f>
        <v>3000.54933254912</v>
      </c>
    </row>
    <row r="10" spans="1:6" ht="12.75">
      <c r="A10" s="30" t="s">
        <v>70</v>
      </c>
      <c r="B10" s="31">
        <f>B8-B9</f>
        <v>3325.286349077821</v>
      </c>
      <c r="C10" s="31">
        <f>C8-C9</f>
        <v>3920.2913653305186</v>
      </c>
      <c r="D10" s="31">
        <f>D8-D9</f>
        <v>4621.762692210587</v>
      </c>
      <c r="E10" s="31">
        <f>E8-E9</f>
        <v>5448.750715830721</v>
      </c>
      <c r="F10" s="31">
        <f>F8-F9</f>
        <v>6423.714573944428</v>
      </c>
    </row>
    <row r="11" spans="1:6" ht="12.75">
      <c r="A11" s="22"/>
      <c r="B11" s="23"/>
      <c r="C11" s="23"/>
      <c r="D11" s="23"/>
      <c r="E11" s="23"/>
      <c r="F11" s="23"/>
    </row>
    <row r="12" spans="1:6" ht="12.75">
      <c r="A12" s="25" t="s">
        <v>72</v>
      </c>
      <c r="B12" s="5">
        <f>B7*Assumptions!$B$25</f>
        <v>957.388698933808</v>
      </c>
      <c r="C12" s="5">
        <f>C7*Assumptions!$B$25</f>
        <v>1128.6975784013575</v>
      </c>
      <c r="D12" s="5">
        <f>D7*Assumptions!$B$25</f>
        <v>1330.6593496537266</v>
      </c>
      <c r="E12" s="5">
        <f>E7*Assumptions!$B$25</f>
        <v>1568.7588409011769</v>
      </c>
      <c r="F12" s="5">
        <f>F7*Assumptions!$B$25</f>
        <v>1849.4622996832536</v>
      </c>
    </row>
    <row r="13" spans="1:6" ht="12.75">
      <c r="A13" s="26" t="s">
        <v>71</v>
      </c>
      <c r="B13" s="9">
        <f>Assumptions!B23</f>
        <v>2761</v>
      </c>
      <c r="C13" s="9">
        <f>B12</f>
        <v>957.388698933808</v>
      </c>
      <c r="D13" s="9">
        <f>C12</f>
        <v>1128.6975784013575</v>
      </c>
      <c r="E13" s="9">
        <f>D12</f>
        <v>1330.6593496537266</v>
      </c>
      <c r="F13" s="9">
        <f>E12</f>
        <v>1568.7588409011769</v>
      </c>
    </row>
    <row r="14" spans="1:6" ht="12.75">
      <c r="A14" s="29" t="s">
        <v>73</v>
      </c>
      <c r="B14" s="27">
        <f>B12-B13</f>
        <v>-1803.611301066192</v>
      </c>
      <c r="C14" s="27">
        <f>C12-C13</f>
        <v>171.30887946754956</v>
      </c>
      <c r="D14" s="27">
        <f>D12-D13</f>
        <v>201.9617712523691</v>
      </c>
      <c r="E14" s="27">
        <f>E12-E13</f>
        <v>238.09949124745026</v>
      </c>
      <c r="F14" s="27">
        <f>F12-F13</f>
        <v>280.7034587820767</v>
      </c>
    </row>
    <row r="15" spans="1:6" ht="12.75">
      <c r="A15" s="25"/>
      <c r="B15" s="5"/>
      <c r="C15" s="5"/>
      <c r="D15" s="5"/>
      <c r="E15" s="5"/>
      <c r="F15" s="5"/>
    </row>
    <row r="16" spans="1:6" ht="12.75">
      <c r="A16" s="25" t="s">
        <v>74</v>
      </c>
      <c r="B16" s="5">
        <f>B7*Assumptions!$B$30</f>
        <v>1870.9601210104809</v>
      </c>
      <c r="C16" s="5">
        <f>C7*Assumptions!$B$30</f>
        <v>2205.737502669271</v>
      </c>
      <c r="D16" s="5">
        <f>D7*Assumptions!$B$30</f>
        <v>2600.4177620066002</v>
      </c>
      <c r="E16" s="5">
        <f>E7*Assumptions!$B$30</f>
        <v>3065.7195286275814</v>
      </c>
      <c r="F16" s="5">
        <f>F7*Assumptions!$B$30</f>
        <v>3614.279353697425</v>
      </c>
    </row>
    <row r="17" spans="1:6" ht="12.75">
      <c r="A17" s="26" t="s">
        <v>75</v>
      </c>
      <c r="B17" s="9">
        <f>' Fin Historic'!G19</f>
        <v>1691</v>
      </c>
      <c r="C17" s="9">
        <f>B16</f>
        <v>1870.9601210104809</v>
      </c>
      <c r="D17" s="9">
        <f>C16</f>
        <v>2205.737502669271</v>
      </c>
      <c r="E17" s="9">
        <f>D16</f>
        <v>2600.4177620066002</v>
      </c>
      <c r="F17" s="9">
        <f>E16</f>
        <v>3065.7195286275814</v>
      </c>
    </row>
    <row r="18" spans="1:6" ht="12.75">
      <c r="A18" s="29" t="s">
        <v>76</v>
      </c>
      <c r="B18" s="27">
        <f>B16-B17</f>
        <v>179.96012101048086</v>
      </c>
      <c r="C18" s="27">
        <f>C16-C17</f>
        <v>334.7773816587903</v>
      </c>
      <c r="D18" s="27">
        <f>D16-D17</f>
        <v>394.68025933732906</v>
      </c>
      <c r="E18" s="27">
        <f>E16-E17</f>
        <v>465.3017666209812</v>
      </c>
      <c r="F18" s="27">
        <f>F16-F17</f>
        <v>548.5598250698436</v>
      </c>
    </row>
    <row r="19" spans="2:6" ht="12.75">
      <c r="B19" s="5"/>
      <c r="C19" s="5"/>
      <c r="D19" s="5"/>
      <c r="E19" s="5"/>
      <c r="F19" s="5"/>
    </row>
    <row r="20" spans="1:6" ht="15.75">
      <c r="A20" s="2" t="s">
        <v>77</v>
      </c>
      <c r="B20" s="28">
        <f>B10-B14-B18</f>
        <v>4948.937529133532</v>
      </c>
      <c r="C20" s="28">
        <f>C10-C14-C18</f>
        <v>3414.2051042041785</v>
      </c>
      <c r="D20" s="28">
        <f>D10-D14-D18</f>
        <v>4025.1206616208888</v>
      </c>
      <c r="E20" s="28">
        <f>E10-E14-E18</f>
        <v>4745.349457962289</v>
      </c>
      <c r="F20" s="28">
        <f>F10-F14-F18</f>
        <v>5594.451290092507</v>
      </c>
    </row>
    <row r="21" spans="2:6" ht="12.75">
      <c r="B21" s="5"/>
      <c r="C21" s="5"/>
      <c r="D21" s="5"/>
      <c r="E21" s="5"/>
      <c r="F21" s="5"/>
    </row>
    <row r="22" spans="2:6" ht="12.75">
      <c r="B22" s="5"/>
      <c r="C22" s="5"/>
      <c r="D22" s="5"/>
      <c r="E22" s="5"/>
      <c r="F22" s="5"/>
    </row>
    <row r="23" spans="1:6" ht="12.75">
      <c r="A23" t="s">
        <v>82</v>
      </c>
      <c r="B23" s="5"/>
      <c r="C23" s="5"/>
      <c r="D23" s="5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/>
      <c r="C25" s="5"/>
      <c r="D25" s="5"/>
      <c r="E25" s="5"/>
      <c r="F25" s="5"/>
    </row>
    <row r="26" spans="2:6" ht="12.75">
      <c r="B26" s="5"/>
      <c r="C26" s="5"/>
      <c r="D26" s="5"/>
      <c r="E26" s="5"/>
      <c r="F26" s="5"/>
    </row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  <row r="29" spans="2:6" ht="12.75">
      <c r="B29" s="5"/>
      <c r="C29" s="5"/>
      <c r="D29" s="5"/>
      <c r="E29" s="5"/>
      <c r="F29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20" sqref="D20"/>
    </sheetView>
  </sheetViews>
  <sheetFormatPr defaultColWidth="9.140625" defaultRowHeight="12.75"/>
  <cols>
    <col min="1" max="1" width="31.57421875" style="0" customWidth="1"/>
    <col min="2" max="2" width="10.421875" style="0" customWidth="1"/>
    <col min="3" max="3" width="8.7109375" style="0" customWidth="1"/>
    <col min="4" max="4" width="9.421875" style="0" customWidth="1"/>
    <col min="5" max="5" width="9.28125" style="0" customWidth="1"/>
    <col min="6" max="6" width="9.421875" style="0" customWidth="1"/>
  </cols>
  <sheetData>
    <row r="1" ht="15.75">
      <c r="A1" s="2" t="s">
        <v>0</v>
      </c>
    </row>
    <row r="2" ht="15">
      <c r="A2" s="1" t="s">
        <v>1</v>
      </c>
    </row>
    <row r="3" ht="12.75">
      <c r="A3" t="s">
        <v>2</v>
      </c>
    </row>
    <row r="4" ht="12.75">
      <c r="A4" t="s">
        <v>7</v>
      </c>
    </row>
    <row r="7" spans="1:7" ht="16.5" thickBot="1">
      <c r="A7" s="3" t="s">
        <v>3</v>
      </c>
      <c r="B7" s="3">
        <v>2006</v>
      </c>
      <c r="C7" s="3">
        <v>2007</v>
      </c>
      <c r="D7" s="3">
        <v>2008</v>
      </c>
      <c r="E7" s="3">
        <v>2009</v>
      </c>
      <c r="F7" s="3">
        <v>2010</v>
      </c>
      <c r="G7" s="42" t="s">
        <v>86</v>
      </c>
    </row>
    <row r="8" spans="1:7" ht="14.25">
      <c r="A8" s="17" t="s">
        <v>83</v>
      </c>
      <c r="B8" s="36">
        <f>Forecast!B20</f>
        <v>4948.937529133532</v>
      </c>
      <c r="C8" s="36">
        <f>Forecast!C20</f>
        <v>3414.2051042041785</v>
      </c>
      <c r="D8" s="36">
        <f>Forecast!D20</f>
        <v>4025.1206616208888</v>
      </c>
      <c r="E8" s="36">
        <f>Forecast!E20</f>
        <v>4745.349457962289</v>
      </c>
      <c r="F8" s="36">
        <f>Forecast!F20</f>
        <v>5594.451290092507</v>
      </c>
      <c r="G8" s="40">
        <f>SUM(B8:F8)</f>
        <v>22728.064043013397</v>
      </c>
    </row>
    <row r="9" spans="1:6" ht="14.25">
      <c r="A9" s="17"/>
      <c r="B9" s="17"/>
      <c r="C9" s="17"/>
      <c r="D9" s="17"/>
      <c r="E9" s="17"/>
      <c r="F9" s="17"/>
    </row>
    <row r="10" spans="1:6" ht="14.25">
      <c r="A10" s="17" t="s">
        <v>84</v>
      </c>
      <c r="B10" s="37">
        <v>0.131</v>
      </c>
      <c r="C10" s="37">
        <v>0.131</v>
      </c>
      <c r="D10" s="37">
        <v>0.131</v>
      </c>
      <c r="E10" s="37">
        <v>0.131</v>
      </c>
      <c r="F10" s="37">
        <v>0.131</v>
      </c>
    </row>
    <row r="11" spans="1:6" ht="14.25">
      <c r="A11" s="17"/>
      <c r="B11" s="17"/>
      <c r="C11" s="17"/>
      <c r="D11" s="17"/>
      <c r="E11" s="17"/>
      <c r="F11" s="17"/>
    </row>
    <row r="12" spans="1:7" ht="15">
      <c r="A12" s="38" t="s">
        <v>85</v>
      </c>
      <c r="B12" s="39">
        <f>B8/(1+B10)^1</f>
        <v>4375.718416563688</v>
      </c>
      <c r="C12" s="39">
        <f>C8/(1+C10)^2</f>
        <v>2669.097247495959</v>
      </c>
      <c r="D12" s="39">
        <f>D8/(1+D10)^3</f>
        <v>2782.217570812466</v>
      </c>
      <c r="E12" s="39">
        <f>E8/(1+E10)^4</f>
        <v>2900.132102192855</v>
      </c>
      <c r="F12" s="39">
        <f>F8/(1+F10)^5</f>
        <v>3023.044027327247</v>
      </c>
      <c r="G12" s="41">
        <f>SUM(B12:F12)</f>
        <v>15750.209364392216</v>
      </c>
    </row>
    <row r="15" spans="1:2" ht="15.75">
      <c r="A15" s="2" t="s">
        <v>87</v>
      </c>
      <c r="B15" s="43">
        <f>G12</f>
        <v>15750.209364392216</v>
      </c>
    </row>
    <row r="17" spans="1:2" ht="15.75">
      <c r="A17" s="2" t="s">
        <v>88</v>
      </c>
      <c r="B17" s="44">
        <f>B15/2500</f>
        <v>6.300083745756886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Vega</dc:creator>
  <cp:keywords/>
  <dc:description/>
  <cp:lastModifiedBy>Omar Vega</cp:lastModifiedBy>
  <dcterms:created xsi:type="dcterms:W3CDTF">2005-07-19T22:17:42Z</dcterms:created>
  <dcterms:modified xsi:type="dcterms:W3CDTF">2005-07-20T22:06:08Z</dcterms:modified>
  <cp:category/>
  <cp:version/>
  <cp:contentType/>
  <cp:contentStatus/>
</cp:coreProperties>
</file>