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2"/>
  </bookViews>
  <sheets>
    <sheet name="Income Information" sheetId="1" r:id="rId1"/>
    <sheet name="Assets, Liabilities &amp; Equity In" sheetId="2" r:id="rId2"/>
    <sheet name="Budget" sheetId="3" r:id="rId3"/>
    <sheet name="Production for March" sheetId="4" r:id="rId4"/>
  </sheets>
  <definedNames/>
  <calcPr fullCalcOnLoad="1"/>
</workbook>
</file>

<file path=xl/sharedStrings.xml><?xml version="1.0" encoding="utf-8"?>
<sst xmlns="http://schemas.openxmlformats.org/spreadsheetml/2006/main" count="183" uniqueCount="137">
  <si>
    <t>Price/Unit</t>
  </si>
  <si>
    <t xml:space="preserve">  Mid-Grade</t>
  </si>
  <si>
    <t xml:space="preserve">  High-End</t>
  </si>
  <si>
    <t>Current</t>
  </si>
  <si>
    <t>Hi-Tech</t>
  </si>
  <si>
    <t>Direct Cost/Unit</t>
  </si>
  <si>
    <t>Plant Overhead/Yr</t>
  </si>
  <si>
    <t xml:space="preserve">  Utilities</t>
  </si>
  <si>
    <t xml:space="preserve">  Benefits</t>
  </si>
  <si>
    <t>Production</t>
  </si>
  <si>
    <t xml:space="preserve">  Insurance</t>
  </si>
  <si>
    <t xml:space="preserve">  Depreciation</t>
  </si>
  <si>
    <t xml:space="preserve">  Supplies</t>
  </si>
  <si>
    <t xml:space="preserve">  Broker</t>
  </si>
  <si>
    <t>Need to add a 45,000 a year maintenance position for the equipment</t>
  </si>
  <si>
    <t>Utilities are expected to be 3 x's current at full production (150% above current levels) based on units produced</t>
  </si>
  <si>
    <t>Benefits are 10% of all wages (including direct labor)</t>
  </si>
  <si>
    <t>Insurance will increase by 12,000 with the addition of the equipment and building expansion</t>
  </si>
  <si>
    <t xml:space="preserve">  Property Taxes</t>
  </si>
  <si>
    <t>Property taxes are 6.5%, assessment is 1% of original value, and that is on all plant/equipment</t>
  </si>
  <si>
    <t>Buildings are at 30 years and Equipment is at 10 years, straight line</t>
  </si>
  <si>
    <t>Supply expense is miscellaneous and does not vary</t>
  </si>
  <si>
    <t>Income Tax Expense</t>
  </si>
  <si>
    <t>Taxes are 42% of Net Income</t>
  </si>
  <si>
    <t>Prices are reduced by 10% because supply is increased</t>
  </si>
  <si>
    <t>The Broker cost for Mid-Grade is based on net FOB destination including shipping/tariffs</t>
  </si>
  <si>
    <t>Production can be increased by 50% and the broker also anticipates that same level</t>
  </si>
  <si>
    <t>Production can be increased by 50%</t>
  </si>
  <si>
    <t>There are no material costs for brokered units</t>
  </si>
  <si>
    <t>The labor rate is increased due to the technical skill level of operators</t>
  </si>
  <si>
    <t>There are no labor times for brokered units and production times are 20% of original times</t>
  </si>
  <si>
    <t>Production times are now equal to the mid-grade level</t>
  </si>
  <si>
    <t>Cash</t>
  </si>
  <si>
    <t>Inventory</t>
  </si>
  <si>
    <t>Pre-paid Insurance</t>
  </si>
  <si>
    <t>TOTAL CURRENT ASSETS</t>
  </si>
  <si>
    <t>Buildings</t>
  </si>
  <si>
    <t>Less: Accumulated Depreciation</t>
  </si>
  <si>
    <t>Equipment</t>
  </si>
  <si>
    <t>TOTAL ASSETS</t>
  </si>
  <si>
    <t>Accounts Payable</t>
  </si>
  <si>
    <t>Accounts Receivable</t>
  </si>
  <si>
    <t>Wages Payable</t>
  </si>
  <si>
    <t>The plant completes all work-in-process before year end inventory</t>
  </si>
  <si>
    <t>Current Portion of Notes Payable</t>
  </si>
  <si>
    <t>Mortgage Note Payable</t>
  </si>
  <si>
    <t>TOTAL CURRENT LIABILITIES</t>
  </si>
  <si>
    <t>TOTAL LIABILITIES</t>
  </si>
  <si>
    <t>Common Stock</t>
  </si>
  <si>
    <t>Retained Earnings</t>
  </si>
  <si>
    <t>TOTAL EQUITY</t>
  </si>
  <si>
    <t>TOTAL LIABILITIES &amp; EQUITY</t>
  </si>
  <si>
    <t>Current Building has been in use for 13 years</t>
  </si>
  <si>
    <t>Building was financed Jan 1, 12 years ago at 7.5% and 80% LTV</t>
  </si>
  <si>
    <t>Wages are two weeks</t>
  </si>
  <si>
    <t>A/P represents 2 months of purchases &amp; 1 month of bills &amp; Prop Tax</t>
  </si>
  <si>
    <t>Income Taxes Payable</t>
  </si>
  <si>
    <t>All timing issues wash out (for simplicity)</t>
  </si>
  <si>
    <t>No Par Value 10,000 shares</t>
  </si>
  <si>
    <t>Equipment fully depreciated several years ago</t>
  </si>
  <si>
    <t>1/2 a year pre-paid</t>
  </si>
  <si>
    <t>DSO = 45 days</t>
  </si>
  <si>
    <t>Sales growth has slowed to 1%</t>
  </si>
  <si>
    <t>Inflation is running at 3%</t>
  </si>
  <si>
    <t>10.814 Mexican Pesos = 1.000 US Dollars</t>
  </si>
  <si>
    <t>Peso? (1=Yes)</t>
  </si>
  <si>
    <t>Net Margins</t>
  </si>
  <si>
    <t>Overhead</t>
  </si>
  <si>
    <t>Net Income before taxes</t>
  </si>
  <si>
    <t>Brian Lindquist</t>
  </si>
  <si>
    <t>Setup Information</t>
  </si>
  <si>
    <t>Direct Materials ($)/Unit</t>
  </si>
  <si>
    <t>Direct Labor ($/HR)/Unit</t>
  </si>
  <si>
    <t>Labor Time (Hrs)/Unit</t>
  </si>
  <si>
    <t>Assets, Liabilities &amp; Equity Information</t>
  </si>
  <si>
    <t>Direct Cost</t>
  </si>
  <si>
    <t>Total</t>
  </si>
  <si>
    <t xml:space="preserve">  Mid-Grade (per unit)</t>
  </si>
  <si>
    <t xml:space="preserve">  High-End  (per unit)</t>
  </si>
  <si>
    <t>Wood</t>
  </si>
  <si>
    <t>Materials</t>
  </si>
  <si>
    <t>Foam</t>
  </si>
  <si>
    <t>Chem A</t>
  </si>
  <si>
    <t>Chem B</t>
  </si>
  <si>
    <t>Chem C</t>
  </si>
  <si>
    <t xml:space="preserve">  Flame Retardent</t>
  </si>
  <si>
    <t xml:space="preserve">  Coating (per liter)</t>
  </si>
  <si>
    <t xml:space="preserve">  Flame Retardent (per liter)</t>
  </si>
  <si>
    <t>Alternative Coating (per liter)</t>
  </si>
  <si>
    <t>Market Price of Flame Retardent (per liter)</t>
  </si>
  <si>
    <t>Production Data</t>
  </si>
  <si>
    <t>Liters of Coating per year</t>
  </si>
  <si>
    <t>Liters of Flame retardent per year</t>
  </si>
  <si>
    <t>Plant Capacity</t>
  </si>
  <si>
    <t xml:space="preserve">  Coating</t>
  </si>
  <si>
    <t>Flex Budget</t>
  </si>
  <si>
    <t>Units Budgeted</t>
  </si>
  <si>
    <t>$ Budgeted</t>
  </si>
  <si>
    <t>Units Actual</t>
  </si>
  <si>
    <t>$ Budget-Flex</t>
  </si>
  <si>
    <t>$ Actual</t>
  </si>
  <si>
    <t>Revenue</t>
  </si>
  <si>
    <t>Total Revenue</t>
  </si>
  <si>
    <t>Cost of Goods</t>
  </si>
  <si>
    <t>Total Cost of Goods</t>
  </si>
  <si>
    <t>Net Revenue</t>
  </si>
  <si>
    <t>Labor Wages</t>
  </si>
  <si>
    <t>Office Salaries</t>
  </si>
  <si>
    <t xml:space="preserve">  Salaries</t>
  </si>
  <si>
    <t>Benefits</t>
  </si>
  <si>
    <t>Utilities</t>
  </si>
  <si>
    <t>Insurance</t>
  </si>
  <si>
    <t>Property Taxes</t>
  </si>
  <si>
    <t>Supplies</t>
  </si>
  <si>
    <t>Total Operating Expense</t>
  </si>
  <si>
    <t>Earnings before Taxes &amp; Depr</t>
  </si>
  <si>
    <t>Deprecition</t>
  </si>
  <si>
    <t>Earnings before Taxes</t>
  </si>
  <si>
    <t>Income Taxes</t>
  </si>
  <si>
    <t>Net Earnings</t>
  </si>
  <si>
    <t>Income Information-Current Standards</t>
  </si>
  <si>
    <t>Current Production = Sales Forecast</t>
  </si>
  <si>
    <t>Budget Data</t>
  </si>
  <si>
    <t>Var-Flex</t>
  </si>
  <si>
    <t>Var-Gross</t>
  </si>
  <si>
    <t>Sales Forecast</t>
  </si>
  <si>
    <t>Variance Analysis - June</t>
  </si>
  <si>
    <t>June</t>
  </si>
  <si>
    <t>High-End</t>
  </si>
  <si>
    <t>Mid-Grade</t>
  </si>
  <si>
    <t>May</t>
  </si>
  <si>
    <t>April</t>
  </si>
  <si>
    <t>March</t>
  </si>
  <si>
    <t>February</t>
  </si>
  <si>
    <t>January</t>
  </si>
  <si>
    <t>Budget=&gt;</t>
  </si>
  <si>
    <t>Actual=&gt;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</si>
</sst>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_);_(@_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</numFmts>
  <fonts count="3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43" fontId="0" fillId="0" borderId="0" xfId="15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NumberFormat="1" applyAlignment="1">
      <alignment/>
    </xf>
    <xf numFmtId="1" fontId="0" fillId="0" borderId="0" xfId="15" applyNumberFormat="1" applyAlignment="1">
      <alignment horizontal="center"/>
    </xf>
    <xf numFmtId="170" fontId="0" fillId="0" borderId="0" xfId="17" applyNumberFormat="1" applyAlignment="1">
      <alignment/>
    </xf>
    <xf numFmtId="165" fontId="0" fillId="0" borderId="1" xfId="15" applyNumberFormat="1" applyBorder="1" applyAlignment="1">
      <alignment/>
    </xf>
    <xf numFmtId="170" fontId="0" fillId="0" borderId="2" xfId="17" applyNumberFormat="1" applyBorder="1" applyAlignment="1">
      <alignment/>
    </xf>
    <xf numFmtId="170" fontId="0" fillId="0" borderId="3" xfId="17" applyNumberFormat="1" applyBorder="1" applyAlignment="1">
      <alignment/>
    </xf>
    <xf numFmtId="0" fontId="0" fillId="0" borderId="0" xfId="0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E10" sqref="E10"/>
    </sheetView>
  </sheetViews>
  <sheetFormatPr defaultColWidth="9.140625" defaultRowHeight="12.75"/>
  <cols>
    <col min="1" max="1" width="21.00390625" style="0" bestFit="1" customWidth="1"/>
    <col min="2" max="2" width="10.28125" style="1" bestFit="1" customWidth="1"/>
    <col min="3" max="4" width="9.28125" style="1" bestFit="1" customWidth="1"/>
    <col min="5" max="5" width="94.8515625" style="0" bestFit="1" customWidth="1"/>
  </cols>
  <sheetData>
    <row r="1" spans="1:5" ht="12.75">
      <c r="A1" s="25" t="s">
        <v>70</v>
      </c>
      <c r="B1" s="25"/>
      <c r="C1" s="25"/>
      <c r="D1" s="25"/>
      <c r="E1" s="25"/>
    </row>
    <row r="2" spans="1:5" ht="12.75">
      <c r="A2" s="5"/>
      <c r="B2" s="5"/>
      <c r="C2" s="5"/>
      <c r="D2" s="5"/>
      <c r="E2" s="5"/>
    </row>
    <row r="3" spans="1:4" ht="12.75">
      <c r="A3" s="9" t="s">
        <v>69</v>
      </c>
      <c r="D3" s="1">
        <f>((CODE(A3)-LEN(A3))/CODE(A3))*IF(LEN(A3)&lt;10,-1,1)*0.1</f>
        <v>0.07727272727272727</v>
      </c>
    </row>
    <row r="4" spans="1:7" ht="12.75">
      <c r="A4" s="7" t="s">
        <v>65</v>
      </c>
      <c r="B4">
        <v>0</v>
      </c>
      <c r="D4" s="10">
        <f>IF(B4=1,10.814,1)</f>
        <v>1</v>
      </c>
      <c r="E4" s="6" t="s">
        <v>64</v>
      </c>
      <c r="F4" s="4"/>
      <c r="G4" s="1"/>
    </row>
    <row r="5" spans="1:7" ht="12.75">
      <c r="A5" s="7"/>
      <c r="B5"/>
      <c r="D5" s="10"/>
      <c r="E5" s="6"/>
      <c r="F5" s="4"/>
      <c r="G5" s="1"/>
    </row>
    <row r="6" spans="1:7" ht="12.75">
      <c r="A6" s="25" t="s">
        <v>120</v>
      </c>
      <c r="B6" s="25"/>
      <c r="C6" s="25"/>
      <c r="D6" s="25"/>
      <c r="E6" s="25"/>
      <c r="F6" s="16"/>
      <c r="G6" s="16"/>
    </row>
    <row r="7" ht="12.75">
      <c r="C7" s="7"/>
    </row>
    <row r="8" spans="2:4" ht="12.75">
      <c r="B8" s="2" t="s">
        <v>3</v>
      </c>
      <c r="C8" s="3" t="s">
        <v>4</v>
      </c>
      <c r="D8" s="2" t="s">
        <v>13</v>
      </c>
    </row>
    <row r="9" spans="1:5" ht="12.75">
      <c r="A9" t="s">
        <v>9</v>
      </c>
      <c r="B9" s="2"/>
      <c r="C9" s="3"/>
      <c r="D9" s="3"/>
      <c r="E9" t="s">
        <v>121</v>
      </c>
    </row>
    <row r="10" spans="1:5" ht="12.75">
      <c r="A10" t="s">
        <v>1</v>
      </c>
      <c r="B10" s="2">
        <f>ROUND(2400*(1+D3),0)*D4</f>
        <v>2585</v>
      </c>
      <c r="C10" s="3">
        <f>ROUND(1.5*B10,0)</f>
        <v>3878</v>
      </c>
      <c r="D10" s="3">
        <f>C10</f>
        <v>3878</v>
      </c>
      <c r="E10" t="s">
        <v>26</v>
      </c>
    </row>
    <row r="11" spans="1:5" ht="12.75">
      <c r="A11" t="s">
        <v>2</v>
      </c>
      <c r="B11" s="2">
        <f>ROUND(480*(1+D3),0)*D4</f>
        <v>517</v>
      </c>
      <c r="C11" s="3">
        <f>ROUND(1.5*B11,0)</f>
        <v>776</v>
      </c>
      <c r="D11" s="3">
        <f>C11</f>
        <v>776</v>
      </c>
      <c r="E11" t="s">
        <v>27</v>
      </c>
    </row>
    <row r="12" spans="2:4" ht="12.75">
      <c r="B12" s="2"/>
      <c r="C12" s="3"/>
      <c r="D12" s="3"/>
    </row>
    <row r="13" ht="12.75">
      <c r="A13" t="s">
        <v>71</v>
      </c>
    </row>
    <row r="14" spans="1:5" ht="12.75">
      <c r="A14" t="s">
        <v>1</v>
      </c>
      <c r="B14" s="1">
        <f>140*$D$4</f>
        <v>140</v>
      </c>
      <c r="C14" s="1">
        <f>B14</f>
        <v>140</v>
      </c>
      <c r="E14" t="s">
        <v>28</v>
      </c>
    </row>
    <row r="15" spans="1:4" ht="12.75">
      <c r="A15" t="s">
        <v>2</v>
      </c>
      <c r="B15" s="1">
        <f>250*$D$4</f>
        <v>250</v>
      </c>
      <c r="C15" s="1">
        <f>B15</f>
        <v>250</v>
      </c>
      <c r="D15" s="1">
        <f>C15</f>
        <v>250</v>
      </c>
    </row>
    <row r="17" spans="1:5" ht="12.75">
      <c r="A17" t="s">
        <v>72</v>
      </c>
      <c r="B17" s="1">
        <f>15*$D$4</f>
        <v>15</v>
      </c>
      <c r="C17" s="1">
        <f>40*$D$4</f>
        <v>40</v>
      </c>
      <c r="D17" s="1">
        <f>C17</f>
        <v>40</v>
      </c>
      <c r="E17" t="s">
        <v>29</v>
      </c>
    </row>
    <row r="19" ht="12.75">
      <c r="A19" t="s">
        <v>73</v>
      </c>
    </row>
    <row r="20" spans="1:5" ht="12.75">
      <c r="A20" t="s">
        <v>1</v>
      </c>
      <c r="B20" s="1">
        <v>20</v>
      </c>
      <c r="C20" s="1">
        <f>1/5*B20</f>
        <v>4</v>
      </c>
      <c r="E20" t="s">
        <v>30</v>
      </c>
    </row>
    <row r="21" spans="1:5" ht="12.75">
      <c r="A21" t="s">
        <v>2</v>
      </c>
      <c r="B21" s="1">
        <v>30</v>
      </c>
      <c r="C21" s="1">
        <f>C20</f>
        <v>4</v>
      </c>
      <c r="D21" s="1">
        <v>4</v>
      </c>
      <c r="E21" t="s">
        <v>31</v>
      </c>
    </row>
    <row r="23" ht="12.75">
      <c r="A23" t="s">
        <v>5</v>
      </c>
    </row>
    <row r="24" spans="1:5" ht="12.75">
      <c r="A24" t="s">
        <v>1</v>
      </c>
      <c r="B24" s="1">
        <f>B14+B17*B20</f>
        <v>440</v>
      </c>
      <c r="C24" s="1">
        <f>C14+C17*C20</f>
        <v>300</v>
      </c>
      <c r="D24" s="1">
        <f>360*$D$4</f>
        <v>360</v>
      </c>
      <c r="E24" t="s">
        <v>25</v>
      </c>
    </row>
    <row r="25" spans="1:4" ht="12.75">
      <c r="A25" t="s">
        <v>2</v>
      </c>
      <c r="B25" s="1">
        <f>B15+B17*B21</f>
        <v>700</v>
      </c>
      <c r="C25" s="1">
        <f>C15+C17*C21</f>
        <v>410</v>
      </c>
      <c r="D25" s="1">
        <f>C25</f>
        <v>410</v>
      </c>
    </row>
    <row r="27" ht="12.75">
      <c r="A27" t="s">
        <v>0</v>
      </c>
    </row>
    <row r="28" spans="1:5" ht="12.75">
      <c r="A28" t="s">
        <v>1</v>
      </c>
      <c r="B28" s="1">
        <f>ROUND(1.15*B24,-1)-1</f>
        <v>509</v>
      </c>
      <c r="C28" s="1">
        <f>ROUND(B28*0.9,-1)-1</f>
        <v>459</v>
      </c>
      <c r="D28" s="1">
        <f>C28</f>
        <v>459</v>
      </c>
      <c r="E28" t="s">
        <v>24</v>
      </c>
    </row>
    <row r="29" spans="1:5" ht="12.75">
      <c r="A29" t="s">
        <v>2</v>
      </c>
      <c r="B29" s="1">
        <f>ROUND(1.25*B25,-1)-1</f>
        <v>879</v>
      </c>
      <c r="C29" s="1">
        <f>ROUND(B29*0.9,-1)-1</f>
        <v>789</v>
      </c>
      <c r="D29" s="1">
        <f>C29</f>
        <v>789</v>
      </c>
      <c r="E29" t="s">
        <v>24</v>
      </c>
    </row>
    <row r="31" ht="12.75">
      <c r="A31" t="s">
        <v>6</v>
      </c>
    </row>
    <row r="32" spans="1:5" ht="12.75">
      <c r="A32" t="s">
        <v>108</v>
      </c>
      <c r="B32" s="4">
        <f>50000*$D$4</f>
        <v>50000</v>
      </c>
      <c r="C32" s="4">
        <f>B32+45000*$D$4</f>
        <v>95000</v>
      </c>
      <c r="D32" s="4">
        <f>C32</f>
        <v>95000</v>
      </c>
      <c r="E32" t="s">
        <v>14</v>
      </c>
    </row>
    <row r="33" spans="1:5" ht="12.75">
      <c r="A33" t="s">
        <v>7</v>
      </c>
      <c r="B33" s="8">
        <f>750*12*D4</f>
        <v>9000</v>
      </c>
      <c r="C33" s="4">
        <f>B33*3</f>
        <v>27000</v>
      </c>
      <c r="D33" s="4">
        <f>C33*(D11/(C10+C11))</f>
        <v>4501.933820369574</v>
      </c>
      <c r="E33" t="s">
        <v>15</v>
      </c>
    </row>
    <row r="34" spans="1:5" ht="12.75">
      <c r="A34" t="s">
        <v>8</v>
      </c>
      <c r="B34" s="4">
        <f>(B10*B20*B17+B11*B17*B21+B32)*0.1</f>
        <v>105815</v>
      </c>
      <c r="C34" s="4">
        <f>(C10*C20*C17+C11*C17*C21+C32)*0.1</f>
        <v>83964</v>
      </c>
      <c r="D34" s="4">
        <f>(D11*D17*D21+D32)*0.1</f>
        <v>21916</v>
      </c>
      <c r="E34" t="s">
        <v>16</v>
      </c>
    </row>
    <row r="35" spans="1:5" ht="12.75">
      <c r="A35" t="s">
        <v>10</v>
      </c>
      <c r="B35" s="4">
        <f>3000*$D$4</f>
        <v>3000</v>
      </c>
      <c r="C35" s="4">
        <f>15000*$D$4</f>
        <v>15000</v>
      </c>
      <c r="D35" s="4">
        <f>C35</f>
        <v>15000</v>
      </c>
      <c r="E35" t="s">
        <v>17</v>
      </c>
    </row>
    <row r="36" spans="1:5" ht="12.75">
      <c r="A36" t="s">
        <v>18</v>
      </c>
      <c r="B36" s="4">
        <f>1500000*0.01*0.065*$D$4</f>
        <v>975</v>
      </c>
      <c r="C36" s="4">
        <f>6000000*0.01*0.065*$D$4</f>
        <v>3900</v>
      </c>
      <c r="D36" s="4">
        <f>C36</f>
        <v>3900</v>
      </c>
      <c r="E36" t="s">
        <v>19</v>
      </c>
    </row>
    <row r="37" spans="1:5" ht="12.75">
      <c r="A37" t="s">
        <v>11</v>
      </c>
      <c r="B37" s="4">
        <f>1500000/30*$D$4</f>
        <v>50000</v>
      </c>
      <c r="C37" s="4">
        <f>(1500000/30+500000/30+4000000/10)*$D$4</f>
        <v>466666.6666666667</v>
      </c>
      <c r="D37" s="4">
        <f>C37</f>
        <v>466666.6666666667</v>
      </c>
      <c r="E37" t="s">
        <v>20</v>
      </c>
    </row>
    <row r="38" spans="1:5" ht="12.75">
      <c r="A38" t="s">
        <v>12</v>
      </c>
      <c r="B38" s="4">
        <f>6000*$D$4</f>
        <v>6000</v>
      </c>
      <c r="C38" s="4">
        <f>B38</f>
        <v>6000</v>
      </c>
      <c r="D38" s="4">
        <f>C38</f>
        <v>6000</v>
      </c>
      <c r="E38" t="s">
        <v>21</v>
      </c>
    </row>
    <row r="39" spans="2:4" ht="12.75">
      <c r="B39" s="4"/>
      <c r="C39" s="4"/>
      <c r="D39" s="4"/>
    </row>
    <row r="40" spans="1:5" ht="12.75">
      <c r="A40" t="s">
        <v>22</v>
      </c>
      <c r="B40" s="4">
        <f>B44*0.42</f>
        <v>19369.559999999998</v>
      </c>
      <c r="C40" s="4">
        <f>C44*0.42</f>
        <v>89533.63999999997</v>
      </c>
      <c r="D40" s="4">
        <f>D44*0.42</f>
        <v>27317.38779544476</v>
      </c>
      <c r="E40" t="s">
        <v>23</v>
      </c>
    </row>
    <row r="41" spans="2:4" ht="12.75">
      <c r="B41" s="4"/>
      <c r="C41" s="4"/>
      <c r="D41" s="4"/>
    </row>
    <row r="42" spans="2:5" ht="12.75">
      <c r="B42" s="4">
        <f>B10*(B28-B24)+B11*(B29-B25)</f>
        <v>270908</v>
      </c>
      <c r="C42" s="4">
        <f>C10*(C28-C24)+C11*(C29-C25)</f>
        <v>910706</v>
      </c>
      <c r="D42" s="4">
        <f>D10*(D28-D24)+D11*(D29-D25)</f>
        <v>678026</v>
      </c>
      <c r="E42" t="s">
        <v>66</v>
      </c>
    </row>
    <row r="43" spans="2:5" ht="12.75">
      <c r="B43" s="4">
        <f>SUM(B32:B38)</f>
        <v>224790</v>
      </c>
      <c r="C43" s="4">
        <f>SUM(C32:C38)</f>
        <v>697530.6666666667</v>
      </c>
      <c r="D43" s="4">
        <f>SUM(D32:D38)</f>
        <v>612984.6004870363</v>
      </c>
      <c r="E43" t="s">
        <v>67</v>
      </c>
    </row>
    <row r="44" spans="2:5" ht="12.75">
      <c r="B44" s="4">
        <f>B42-B43</f>
        <v>46118</v>
      </c>
      <c r="C44" s="4">
        <f>C42-C43</f>
        <v>213175.33333333326</v>
      </c>
      <c r="D44" s="4">
        <f>D42-D43</f>
        <v>65041.39951296372</v>
      </c>
      <c r="E44" t="s">
        <v>68</v>
      </c>
    </row>
    <row r="46" spans="2:3" ht="12.75">
      <c r="B46" s="4"/>
      <c r="C46" s="4"/>
    </row>
    <row r="48" spans="2:3" ht="12.75">
      <c r="B48" s="4"/>
      <c r="C48" s="4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</sheetData>
  <mergeCells count="2">
    <mergeCell ref="A6:E6"/>
    <mergeCell ref="A1:E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140625" defaultRowHeight="12.75"/>
  <cols>
    <col min="1" max="1" width="28.7109375" style="0" bestFit="1" customWidth="1"/>
    <col min="2" max="2" width="11.28125" style="4" bestFit="1" customWidth="1"/>
    <col min="3" max="3" width="6.00390625" style="4" bestFit="1" customWidth="1"/>
    <col min="4" max="4" width="11.28125" style="0" bestFit="1" customWidth="1"/>
    <col min="5" max="5" width="6.00390625" style="0" bestFit="1" customWidth="1"/>
    <col min="6" max="6" width="59.421875" style="0" bestFit="1" customWidth="1"/>
    <col min="7" max="7" width="27.57421875" style="0" bestFit="1" customWidth="1"/>
  </cols>
  <sheetData>
    <row r="1" spans="1:7" ht="12.75">
      <c r="A1" s="25" t="s">
        <v>74</v>
      </c>
      <c r="B1" s="25"/>
      <c r="C1" s="25"/>
      <c r="D1" s="25"/>
      <c r="E1" s="25"/>
      <c r="F1" s="25"/>
      <c r="G1" s="25"/>
    </row>
    <row r="3" spans="2:5" ht="12.75">
      <c r="B3" s="11" t="str">
        <f ca="1">"12/31/"&amp;YEAR(TODAY())-2</f>
        <v>12/31/2009</v>
      </c>
      <c r="C3" s="11"/>
      <c r="D3" s="11" t="str">
        <f ca="1">"12/31/"&amp;YEAR(TODAY())-1</f>
        <v>12/31/2010</v>
      </c>
      <c r="E3" s="11"/>
    </row>
    <row r="5" spans="1:5" ht="12.75">
      <c r="A5" t="s">
        <v>32</v>
      </c>
      <c r="B5" s="12">
        <f>120872*'Income Information'!$D$4</f>
        <v>120872</v>
      </c>
      <c r="C5" s="4" t="str">
        <f>IF('Income Information'!$B$4=1,"MXN","USD")</f>
        <v>USD</v>
      </c>
      <c r="D5" s="12">
        <f>D29-SUM(D6:D8)-SUM(D11:D14)</f>
        <v>167991.42173368775</v>
      </c>
      <c r="E5" s="4" t="str">
        <f>IF('Income Information'!$B$4=1,"MXN","USD")</f>
        <v>USD</v>
      </c>
    </row>
    <row r="6" spans="1:7" ht="12.75">
      <c r="A6" t="s">
        <v>41</v>
      </c>
      <c r="B6" s="4">
        <f>('Income Information'!B10*'Income Information'!B28/12+'Income Information'!B11*'Income Information'!B25/12)*1.5*0.98</f>
        <v>205513.9625</v>
      </c>
      <c r="D6" s="4">
        <f>B6/0.98</f>
        <v>209708.125</v>
      </c>
      <c r="E6" s="4"/>
      <c r="F6" t="s">
        <v>61</v>
      </c>
      <c r="G6" t="s">
        <v>62</v>
      </c>
    </row>
    <row r="7" spans="1:7" ht="12.75">
      <c r="A7" t="s">
        <v>33</v>
      </c>
      <c r="B7" s="4">
        <f>'Income Information'!B10/12*'Income Information'!B24*0.97+'Income Information'!B11/12*'Income Information'!B25*0.97</f>
        <v>121193.41666666666</v>
      </c>
      <c r="D7" s="4">
        <f>B7/0.97</f>
        <v>124941.66666666666</v>
      </c>
      <c r="E7" s="4"/>
      <c r="F7" t="s">
        <v>43</v>
      </c>
      <c r="G7" t="s">
        <v>63</v>
      </c>
    </row>
    <row r="8" spans="1:6" ht="12.75">
      <c r="A8" t="s">
        <v>34</v>
      </c>
      <c r="B8" s="13">
        <f>0.5*'Income Information'!B35-250*'Income Information'!$D$4</f>
        <v>1250</v>
      </c>
      <c r="D8" s="13">
        <f>B8+250*'Income Information'!$D$4</f>
        <v>1500</v>
      </c>
      <c r="E8" s="4"/>
      <c r="F8" t="s">
        <v>60</v>
      </c>
    </row>
    <row r="9" spans="1:5" ht="12.75">
      <c r="A9" t="s">
        <v>35</v>
      </c>
      <c r="B9" s="12">
        <f>SUM(B5:B8)</f>
        <v>448829.37916666665</v>
      </c>
      <c r="C9" s="4" t="str">
        <f>IF('Income Information'!$B$4=1,"MXN","USD")</f>
        <v>USD</v>
      </c>
      <c r="D9" s="12">
        <f>SUM(D5:D8)</f>
        <v>504141.2134003544</v>
      </c>
      <c r="E9" s="4" t="str">
        <f>IF('Income Information'!$B$4=1,"MXN","USD")</f>
        <v>USD</v>
      </c>
    </row>
    <row r="10" spans="4:5" ht="12.75">
      <c r="D10" s="4"/>
      <c r="E10" s="4"/>
    </row>
    <row r="11" spans="1:5" ht="12.75">
      <c r="A11" t="s">
        <v>36</v>
      </c>
      <c r="B11" s="4">
        <f>1500000*'Income Information'!$D$4</f>
        <v>1500000</v>
      </c>
      <c r="D11" s="4">
        <f>B11</f>
        <v>1500000</v>
      </c>
      <c r="E11" s="4"/>
    </row>
    <row r="12" spans="1:6" ht="12.75">
      <c r="A12" t="s">
        <v>37</v>
      </c>
      <c r="B12" s="4">
        <f>-B11/30*12</f>
        <v>-600000</v>
      </c>
      <c r="D12" s="4">
        <f>B12-D11/30</f>
        <v>-650000</v>
      </c>
      <c r="E12" s="4"/>
      <c r="F12" t="s">
        <v>52</v>
      </c>
    </row>
    <row r="13" spans="1:5" ht="12.75">
      <c r="A13" t="s">
        <v>38</v>
      </c>
      <c r="B13" s="4">
        <f>50000*'Income Information'!$D$4</f>
        <v>50000</v>
      </c>
      <c r="D13" s="4">
        <f>B13</f>
        <v>50000</v>
      </c>
      <c r="E13" s="4"/>
    </row>
    <row r="14" spans="1:6" ht="12.75">
      <c r="A14" t="s">
        <v>37</v>
      </c>
      <c r="B14" s="4">
        <f>-B13</f>
        <v>-50000</v>
      </c>
      <c r="D14" s="4">
        <f>B14</f>
        <v>-50000</v>
      </c>
      <c r="E14" s="4"/>
      <c r="F14" t="s">
        <v>59</v>
      </c>
    </row>
    <row r="15" spans="1:5" ht="13.5" thickBot="1">
      <c r="A15" t="s">
        <v>39</v>
      </c>
      <c r="B15" s="14">
        <f>SUM(B9:B14)</f>
        <v>1348829.3791666667</v>
      </c>
      <c r="C15" s="4" t="str">
        <f>IF('Income Information'!$B$4=1,"MXN","USD")</f>
        <v>USD</v>
      </c>
      <c r="D15" s="14">
        <f>SUM(D9:D14)</f>
        <v>1354141.2134003544</v>
      </c>
      <c r="E15" s="4" t="str">
        <f>IF('Income Information'!$B$4=1,"MXN","USD")</f>
        <v>USD</v>
      </c>
    </row>
    <row r="16" spans="4:5" ht="13.5" thickTop="1">
      <c r="D16" s="4"/>
      <c r="E16" s="4"/>
    </row>
    <row r="17" spans="1:6" ht="12.75">
      <c r="A17" t="s">
        <v>40</v>
      </c>
      <c r="B17" s="12">
        <f>(('Income Information'!B10*'Income Information'!B14/12+'Income Information'!B11*'Income Information'!B15/12)*2+('Income Information'!B33+'Income Information'!B38)/12+'Income Information'!B36)*0.97</f>
        <v>81560.83333333333</v>
      </c>
      <c r="C17" s="4" t="str">
        <f>IF('Income Information'!$B$4=1,"MXN","USD")</f>
        <v>USD</v>
      </c>
      <c r="D17" s="12">
        <f>B17/0.97</f>
        <v>84083.33333333333</v>
      </c>
      <c r="E17" s="4" t="str">
        <f>IF('Income Information'!$B$4=1,"MXN","USD")</f>
        <v>USD</v>
      </c>
      <c r="F17" t="s">
        <v>55</v>
      </c>
    </row>
    <row r="18" spans="1:6" ht="12.75">
      <c r="A18" t="s">
        <v>56</v>
      </c>
      <c r="B18" s="4">
        <f>'Income Information'!B40*0.95</f>
        <v>18401.082</v>
      </c>
      <c r="D18" s="4">
        <f>B18/0.95</f>
        <v>19369.559999999998</v>
      </c>
      <c r="E18" s="4"/>
      <c r="F18" t="s">
        <v>57</v>
      </c>
    </row>
    <row r="19" spans="1:6" ht="12.75">
      <c r="A19" t="s">
        <v>42</v>
      </c>
      <c r="B19" s="4">
        <f>'Income Information'!B34/0.1/12/2*0.95</f>
        <v>41885.104166666664</v>
      </c>
      <c r="D19" s="4">
        <f>B19/0.95</f>
        <v>44089.583333333336</v>
      </c>
      <c r="E19" s="4"/>
      <c r="F19" t="s">
        <v>54</v>
      </c>
    </row>
    <row r="20" spans="1:5" ht="12.75">
      <c r="A20" t="s">
        <v>44</v>
      </c>
      <c r="B20" s="13">
        <f>PV(0.075/12,360-144,PMT(0.075/12,360,B11*0.8))-PV(0.075/12,360-144-12,PMT(0.075/12,360,B11*0.8))</f>
        <v>27132.06293297885</v>
      </c>
      <c r="D20" s="13">
        <f>PV(0.075/12,360-156,PMT(0.075/12,360,B11*0.8))-PV(0.075/12,360-156-12,PMT(0.075/12,360,B11*0.8))</f>
        <v>29238.395490791067</v>
      </c>
      <c r="E20" s="4"/>
    </row>
    <row r="21" spans="1:5" ht="12.75">
      <c r="A21" t="s">
        <v>46</v>
      </c>
      <c r="B21" s="12">
        <f>SUM(B17:B20)</f>
        <v>168979.08243297884</v>
      </c>
      <c r="C21" s="4" t="str">
        <f>IF('Income Information'!$B$4=1,"MXN","USD")</f>
        <v>USD</v>
      </c>
      <c r="D21" s="12">
        <f>SUM(D17:D20)</f>
        <v>176780.87215745772</v>
      </c>
      <c r="E21" s="4" t="str">
        <f>IF('Income Information'!$B$4=1,"MXN","USD")</f>
        <v>USD</v>
      </c>
    </row>
    <row r="22" spans="4:5" ht="12.75">
      <c r="D22" s="4"/>
      <c r="E22" s="4"/>
    </row>
    <row r="23" spans="1:6" ht="12.75">
      <c r="A23" t="s">
        <v>45</v>
      </c>
      <c r="B23" s="13">
        <f>PV(0.075/12,360-144,PMT(0.075/12,360,B11*0.8))-B20</f>
        <v>965866.6252473302</v>
      </c>
      <c r="D23" s="13">
        <f>PV(0.075/12,360-156,PMT(0.075/12,360,B11*0.8))-D20</f>
        <v>936628.2297565391</v>
      </c>
      <c r="E23" s="4"/>
      <c r="F23" t="s">
        <v>53</v>
      </c>
    </row>
    <row r="24" spans="1:5" ht="13.5" thickBot="1">
      <c r="A24" t="s">
        <v>47</v>
      </c>
      <c r="B24" s="15">
        <f>B21+B23</f>
        <v>1134845.707680309</v>
      </c>
      <c r="C24" s="4" t="str">
        <f>IF('Income Information'!$B$4=1,"MXN","USD")</f>
        <v>USD</v>
      </c>
      <c r="D24" s="15">
        <f>D21+D23</f>
        <v>1113409.1019139967</v>
      </c>
      <c r="E24" s="4" t="str">
        <f>IF('Income Information'!$B$4=1,"MXN","USD")</f>
        <v>USD</v>
      </c>
    </row>
    <row r="25" spans="4:5" ht="12.75">
      <c r="D25" s="4"/>
      <c r="E25" s="4"/>
    </row>
    <row r="26" spans="1:6" ht="12.75">
      <c r="A26" t="s">
        <v>48</v>
      </c>
      <c r="B26" s="12">
        <f>ROUND(10000*'Income Information'!D4,-3)</f>
        <v>10000</v>
      </c>
      <c r="C26" s="4" t="str">
        <f>IF('Income Information'!$B$4=1,"MXN","USD")</f>
        <v>USD</v>
      </c>
      <c r="D26" s="12">
        <f>B26</f>
        <v>10000</v>
      </c>
      <c r="E26" s="4" t="str">
        <f>IF('Income Information'!$B$4=1,"MXN","USD")</f>
        <v>USD</v>
      </c>
      <c r="F26" t="s">
        <v>58</v>
      </c>
    </row>
    <row r="27" spans="1:5" ht="12.75">
      <c r="A27" t="s">
        <v>49</v>
      </c>
      <c r="B27" s="13">
        <f>B15-B24-B26</f>
        <v>203983.6714863577</v>
      </c>
      <c r="D27" s="13">
        <f>B27+'Income Information'!B44-'Income Information'!B40</f>
        <v>230732.1114863577</v>
      </c>
      <c r="E27" s="4"/>
    </row>
    <row r="28" spans="1:5" ht="12.75">
      <c r="A28" t="s">
        <v>50</v>
      </c>
      <c r="B28" s="12">
        <f>B26+B27</f>
        <v>213983.6714863577</v>
      </c>
      <c r="C28" s="4" t="str">
        <f>IF('Income Information'!$B$4=1,"MXN","USD")</f>
        <v>USD</v>
      </c>
      <c r="D28" s="12">
        <f>D26+D27</f>
        <v>240732.1114863577</v>
      </c>
      <c r="E28" s="4" t="str">
        <f>IF('Income Information'!$B$4=1,"MXN","USD")</f>
        <v>USD</v>
      </c>
    </row>
    <row r="29" spans="1:5" ht="13.5" thickBot="1">
      <c r="A29" t="s">
        <v>51</v>
      </c>
      <c r="B29" s="14">
        <f>B24+B28</f>
        <v>1348829.3791666667</v>
      </c>
      <c r="C29" s="4" t="str">
        <f>IF('Income Information'!$B$4=1,"MXN","USD")</f>
        <v>USD</v>
      </c>
      <c r="D29" s="14">
        <f>D24+D28</f>
        <v>1354141.2134003544</v>
      </c>
      <c r="E29" s="4" t="str">
        <f>IF('Income Information'!$B$4=1,"MXN","USD")</f>
        <v>USD</v>
      </c>
    </row>
    <row r="30" ht="13.5" thickTop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G79" sqref="G79"/>
    </sheetView>
  </sheetViews>
  <sheetFormatPr defaultColWidth="9.140625" defaultRowHeight="12.75"/>
  <cols>
    <col min="1" max="1" width="26.28125" style="0" bestFit="1" customWidth="1"/>
    <col min="2" max="2" width="13.8515625" style="0" bestFit="1" customWidth="1"/>
    <col min="3" max="3" width="11.57421875" style="0" bestFit="1" customWidth="1"/>
    <col min="4" max="4" width="11.140625" style="0" bestFit="1" customWidth="1"/>
    <col min="5" max="5" width="13.8515625" style="0" bestFit="1" customWidth="1"/>
    <col min="6" max="6" width="10.8515625" style="0" bestFit="1" customWidth="1"/>
    <col min="7" max="8" width="9.28125" style="0" bestFit="1" customWidth="1"/>
  </cols>
  <sheetData>
    <row r="1" spans="1:8" ht="23.25">
      <c r="A1" s="27" t="s">
        <v>95</v>
      </c>
      <c r="B1" s="27"/>
      <c r="C1" s="27"/>
      <c r="D1" s="27"/>
      <c r="E1" s="27"/>
      <c r="F1" s="27"/>
      <c r="G1" s="27"/>
      <c r="H1" s="27"/>
    </row>
    <row r="2" spans="1:7" ht="12.75">
      <c r="A2" s="5"/>
      <c r="B2" s="5"/>
      <c r="C2" s="5"/>
      <c r="D2" s="5"/>
      <c r="E2" s="5"/>
      <c r="F2" s="5"/>
      <c r="G2" s="5"/>
    </row>
    <row r="3" spans="1:8" ht="12.75">
      <c r="A3" s="26" t="s">
        <v>122</v>
      </c>
      <c r="B3" s="26"/>
      <c r="C3" s="26"/>
      <c r="D3" s="26"/>
      <c r="E3" s="26"/>
      <c r="F3" s="26"/>
      <c r="G3" s="26"/>
      <c r="H3" s="26"/>
    </row>
    <row r="4" spans="3:5" ht="12.75">
      <c r="C4" s="1"/>
      <c r="D4" s="7"/>
      <c r="E4" s="1"/>
    </row>
    <row r="5" spans="2:7" ht="12.75">
      <c r="B5" t="s">
        <v>96</v>
      </c>
      <c r="C5" s="2" t="s">
        <v>97</v>
      </c>
      <c r="D5" t="s">
        <v>98</v>
      </c>
      <c r="E5" s="2"/>
      <c r="F5" s="5"/>
      <c r="G5" s="5"/>
    </row>
    <row r="6" spans="1:5" ht="12.75">
      <c r="A6" t="s">
        <v>9</v>
      </c>
      <c r="C6" s="2"/>
      <c r="D6" s="3"/>
      <c r="E6" s="3"/>
    </row>
    <row r="7" spans="1:5" ht="12.75">
      <c r="A7" t="s">
        <v>1</v>
      </c>
      <c r="B7" s="24">
        <f>H75</f>
        <v>2585</v>
      </c>
      <c r="C7" s="19"/>
      <c r="D7" s="21">
        <v>2800</v>
      </c>
      <c r="E7" s="3"/>
    </row>
    <row r="8" spans="1:5" ht="12.75">
      <c r="A8" t="s">
        <v>2</v>
      </c>
      <c r="B8" s="24">
        <f>H74</f>
        <v>517</v>
      </c>
      <c r="C8" s="19"/>
      <c r="D8" s="21">
        <v>400</v>
      </c>
      <c r="E8" s="3"/>
    </row>
    <row r="9" spans="3:5" ht="12.75">
      <c r="C9" s="2"/>
      <c r="D9" s="3"/>
      <c r="E9" s="3"/>
    </row>
    <row r="10" spans="1:5" ht="12.75">
      <c r="A10" t="s">
        <v>71</v>
      </c>
      <c r="C10" s="1"/>
      <c r="D10" s="1"/>
      <c r="E10" s="1"/>
    </row>
    <row r="11" spans="1:5" ht="12.75">
      <c r="A11" t="s">
        <v>1</v>
      </c>
      <c r="B11" s="1">
        <f>140*'Income Information'!D4</f>
        <v>140</v>
      </c>
      <c r="D11" s="1"/>
      <c r="E11" s="1"/>
    </row>
    <row r="12" spans="1:5" ht="12.75">
      <c r="A12" t="s">
        <v>2</v>
      </c>
      <c r="B12" s="1">
        <f>250*'Income Information'!D4</f>
        <v>250</v>
      </c>
      <c r="D12" s="1"/>
      <c r="E12" s="1"/>
    </row>
    <row r="13" spans="2:5" ht="12.75">
      <c r="B13" s="1"/>
      <c r="D13" s="1"/>
      <c r="E13" s="1"/>
    </row>
    <row r="14" spans="1:5" ht="12.75">
      <c r="A14" t="s">
        <v>72</v>
      </c>
      <c r="B14" s="1">
        <f>15*'Income Information'!D4</f>
        <v>15</v>
      </c>
      <c r="D14" s="1"/>
      <c r="E14" s="1"/>
    </row>
    <row r="15" spans="2:5" ht="12.75">
      <c r="B15" s="1"/>
      <c r="D15" s="1"/>
      <c r="E15" s="1"/>
    </row>
    <row r="16" spans="1:5" ht="12.75">
      <c r="A16" t="s">
        <v>73</v>
      </c>
      <c r="B16" s="1"/>
      <c r="D16" s="1"/>
      <c r="E16" s="1"/>
    </row>
    <row r="17" spans="1:5" ht="12.75">
      <c r="A17" t="s">
        <v>1</v>
      </c>
      <c r="B17" s="1">
        <v>20</v>
      </c>
      <c r="D17" s="1">
        <v>21.5</v>
      </c>
      <c r="E17" s="1"/>
    </row>
    <row r="18" spans="1:5" ht="12.75">
      <c r="A18" t="s">
        <v>2</v>
      </c>
      <c r="B18" s="1">
        <v>30</v>
      </c>
      <c r="D18" s="1">
        <v>28</v>
      </c>
      <c r="E18" s="1"/>
    </row>
    <row r="19" spans="2:5" ht="12.75">
      <c r="B19" s="1"/>
      <c r="D19" s="1"/>
      <c r="E19" s="1"/>
    </row>
    <row r="20" spans="1:5" ht="12.75">
      <c r="A20" t="s">
        <v>5</v>
      </c>
      <c r="B20" s="1"/>
      <c r="D20" s="1"/>
      <c r="E20" s="1"/>
    </row>
    <row r="21" spans="1:5" ht="12.75">
      <c r="A21" t="s">
        <v>1</v>
      </c>
      <c r="B21" s="1">
        <f>B11+B14*B17</f>
        <v>440</v>
      </c>
      <c r="D21" s="1"/>
      <c r="E21" s="1"/>
    </row>
    <row r="22" spans="1:5" ht="12.75">
      <c r="A22" t="s">
        <v>2</v>
      </c>
      <c r="B22" s="1">
        <f>B12+B14*B18</f>
        <v>700</v>
      </c>
      <c r="D22" s="1"/>
      <c r="E22" s="1"/>
    </row>
    <row r="23" spans="2:5" ht="12.75">
      <c r="B23" s="1"/>
      <c r="D23" s="1"/>
      <c r="E23" s="1"/>
    </row>
    <row r="24" spans="1:5" ht="12.75">
      <c r="A24" t="s">
        <v>0</v>
      </c>
      <c r="B24" s="1"/>
      <c r="D24" s="1"/>
      <c r="E24" s="1"/>
    </row>
    <row r="25" spans="1:5" ht="12.75">
      <c r="A25" t="s">
        <v>1</v>
      </c>
      <c r="B25" s="1">
        <f>ROUND(1.15*B21,-1)-1</f>
        <v>509</v>
      </c>
      <c r="D25" s="1"/>
      <c r="E25" s="1"/>
    </row>
    <row r="26" spans="1:5" ht="12.75">
      <c r="A26" t="s">
        <v>2</v>
      </c>
      <c r="B26" s="1">
        <f>ROUND(1.25*B22,-1)-1</f>
        <v>879</v>
      </c>
      <c r="D26" s="1"/>
      <c r="E26" s="1"/>
    </row>
    <row r="27" spans="3:5" ht="12.75">
      <c r="C27" s="1"/>
      <c r="D27" s="1"/>
      <c r="E27" s="1"/>
    </row>
    <row r="28" spans="1:5" ht="12.75">
      <c r="A28" t="s">
        <v>6</v>
      </c>
      <c r="C28" s="1"/>
      <c r="D28" s="1"/>
      <c r="E28" s="1"/>
    </row>
    <row r="29" spans="1:5" ht="12.75">
      <c r="A29" t="s">
        <v>108</v>
      </c>
      <c r="C29" s="4">
        <f>50000*'Income Information'!D4</f>
        <v>50000</v>
      </c>
      <c r="D29" s="4"/>
      <c r="E29" s="4"/>
    </row>
    <row r="30" spans="1:5" ht="12.75">
      <c r="A30" t="s">
        <v>7</v>
      </c>
      <c r="C30" s="8">
        <f>750*12*'Income Information'!D4</f>
        <v>9000</v>
      </c>
      <c r="D30" s="4"/>
      <c r="E30" s="4"/>
    </row>
    <row r="31" spans="1:5" ht="12.75">
      <c r="A31" t="s">
        <v>8</v>
      </c>
      <c r="B31" s="17">
        <v>0.1</v>
      </c>
      <c r="C31" s="4"/>
      <c r="D31" s="4"/>
      <c r="E31" s="4"/>
    </row>
    <row r="32" spans="1:5" ht="12.75">
      <c r="A32" t="s">
        <v>10</v>
      </c>
      <c r="C32" s="4">
        <f>3000*'Income Information'!D4</f>
        <v>3000</v>
      </c>
      <c r="D32" s="4"/>
      <c r="E32" s="4"/>
    </row>
    <row r="33" spans="1:5" ht="12.75">
      <c r="A33" t="s">
        <v>18</v>
      </c>
      <c r="C33" s="4">
        <f>1500000*0.01*0.065*'Income Information'!D4</f>
        <v>975</v>
      </c>
      <c r="D33" s="4"/>
      <c r="E33" s="4"/>
    </row>
    <row r="34" spans="1:5" ht="12.75">
      <c r="A34" t="s">
        <v>11</v>
      </c>
      <c r="C34" s="4">
        <f>1500000/30*'Income Information'!D4</f>
        <v>50000</v>
      </c>
      <c r="D34" s="4"/>
      <c r="E34" s="4"/>
    </row>
    <row r="35" spans="1:5" ht="12.75">
      <c r="A35" t="s">
        <v>12</v>
      </c>
      <c r="C35" s="4">
        <f>6000*'Income Information'!D4</f>
        <v>6000</v>
      </c>
      <c r="D35" s="4"/>
      <c r="E35" s="4"/>
    </row>
    <row r="36" spans="3:5" ht="12.75">
      <c r="C36" s="4"/>
      <c r="D36" s="4"/>
      <c r="E36" s="4"/>
    </row>
    <row r="37" spans="1:5" ht="12.75">
      <c r="A37" t="s">
        <v>22</v>
      </c>
      <c r="B37" s="18">
        <v>0.42</v>
      </c>
      <c r="C37" s="4">
        <f>C71*B37</f>
        <v>0</v>
      </c>
      <c r="D37" s="4"/>
      <c r="E37" s="4"/>
    </row>
    <row r="38" spans="3:5" ht="12.75">
      <c r="C38" s="4"/>
      <c r="D38" s="4"/>
      <c r="E38" s="4"/>
    </row>
    <row r="39" spans="1:8" ht="12.75">
      <c r="A39" s="26" t="s">
        <v>126</v>
      </c>
      <c r="B39" s="26"/>
      <c r="C39" s="26"/>
      <c r="D39" s="26"/>
      <c r="E39" s="26"/>
      <c r="F39" s="26"/>
      <c r="G39" s="26"/>
      <c r="H39" s="26"/>
    </row>
    <row r="40" spans="3:5" ht="12.75">
      <c r="C40" s="4"/>
      <c r="D40" s="4"/>
      <c r="E40" s="4"/>
    </row>
    <row r="41" spans="2:8" ht="12.75">
      <c r="B41" t="s">
        <v>96</v>
      </c>
      <c r="C41" s="2" t="s">
        <v>97</v>
      </c>
      <c r="D41" t="s">
        <v>98</v>
      </c>
      <c r="E41" s="2" t="s">
        <v>99</v>
      </c>
      <c r="F41" s="5" t="s">
        <v>100</v>
      </c>
      <c r="G41" s="5" t="s">
        <v>123</v>
      </c>
      <c r="H41" t="s">
        <v>124</v>
      </c>
    </row>
    <row r="42" spans="1:5" ht="12.75">
      <c r="A42" t="s">
        <v>101</v>
      </c>
      <c r="C42" s="4"/>
      <c r="D42" s="4"/>
      <c r="E42" s="4"/>
    </row>
    <row r="43" spans="1:8" ht="12.75">
      <c r="A43" t="s">
        <v>2</v>
      </c>
      <c r="B43" s="19">
        <f>B8</f>
        <v>517</v>
      </c>
      <c r="C43" s="4">
        <f>B8*B26</f>
        <v>454443</v>
      </c>
      <c r="D43" s="4">
        <v>421</v>
      </c>
      <c r="E43" s="4">
        <f>D43*B26</f>
        <v>370059</v>
      </c>
      <c r="F43" s="4">
        <f>E43*0.95</f>
        <v>351556.05</v>
      </c>
      <c r="G43" s="19">
        <f>F43-E43</f>
        <v>-18502.95000000001</v>
      </c>
      <c r="H43" s="19">
        <f>F43-C43</f>
        <v>-102886.95000000001</v>
      </c>
    </row>
    <row r="44" spans="1:8" ht="12.75">
      <c r="A44" t="s">
        <v>1</v>
      </c>
      <c r="B44" s="19">
        <f>B7</f>
        <v>2585</v>
      </c>
      <c r="C44" s="13">
        <f>B7*B25</f>
        <v>1315765</v>
      </c>
      <c r="D44" s="4">
        <v>2787</v>
      </c>
      <c r="E44" s="13">
        <f>D44*B25</f>
        <v>1418583</v>
      </c>
      <c r="F44" s="20">
        <f>E44</f>
        <v>1418583</v>
      </c>
      <c r="G44" s="20">
        <f>F44-E44</f>
        <v>0</v>
      </c>
      <c r="H44" s="20">
        <f>F44-C44</f>
        <v>102818</v>
      </c>
    </row>
    <row r="45" spans="1:8" ht="12.75">
      <c r="A45" t="s">
        <v>102</v>
      </c>
      <c r="C45" s="4">
        <f>C43+C44</f>
        <v>1770208</v>
      </c>
      <c r="D45" s="4"/>
      <c r="E45" s="4">
        <f>E43+E44</f>
        <v>1788642</v>
      </c>
      <c r="F45" s="4">
        <f>F43+F44</f>
        <v>1770139.05</v>
      </c>
      <c r="G45" s="4">
        <f>G43+G44</f>
        <v>-18502.95000000001</v>
      </c>
      <c r="H45" s="4">
        <f>H43+H44</f>
        <v>-68.95000000001164</v>
      </c>
    </row>
    <row r="46" spans="3:5" ht="12.75">
      <c r="C46" s="4"/>
      <c r="D46" s="4"/>
      <c r="E46" s="4"/>
    </row>
    <row r="47" spans="1:5" ht="12.75">
      <c r="A47" t="s">
        <v>103</v>
      </c>
      <c r="C47" s="4"/>
      <c r="D47" s="4"/>
      <c r="E47" s="4"/>
    </row>
    <row r="48" spans="1:8" ht="12.75">
      <c r="A48" t="s">
        <v>2</v>
      </c>
      <c r="C48" s="4">
        <f>B8*B12</f>
        <v>129250</v>
      </c>
      <c r="D48" s="1">
        <f>F48/D43</f>
        <v>225</v>
      </c>
      <c r="E48" s="4">
        <f>B12*D43</f>
        <v>105250</v>
      </c>
      <c r="F48" s="4">
        <f>225*D43</f>
        <v>94725</v>
      </c>
      <c r="G48" s="19">
        <f>E48-F48</f>
        <v>10525</v>
      </c>
      <c r="H48" s="19">
        <f>C48-F48</f>
        <v>34525</v>
      </c>
    </row>
    <row r="49" spans="1:8" ht="12.75">
      <c r="A49" t="s">
        <v>1</v>
      </c>
      <c r="C49" s="13">
        <f>B7*B11</f>
        <v>361900</v>
      </c>
      <c r="D49" s="1">
        <f>F49/D44</f>
        <v>142.25</v>
      </c>
      <c r="E49" s="13">
        <f>D44*B11</f>
        <v>390180</v>
      </c>
      <c r="F49" s="13">
        <f>142.25*D44</f>
        <v>396450.75</v>
      </c>
      <c r="G49" s="20">
        <f>E49-F49</f>
        <v>-6270.75</v>
      </c>
      <c r="H49" s="20">
        <f>C49-F49</f>
        <v>-34550.75</v>
      </c>
    </row>
    <row r="50" spans="1:8" ht="12.75">
      <c r="A50" t="s">
        <v>104</v>
      </c>
      <c r="C50" s="4">
        <f>C48+C49</f>
        <v>491150</v>
      </c>
      <c r="D50" s="4"/>
      <c r="E50" s="4">
        <f>E48+E49</f>
        <v>495430</v>
      </c>
      <c r="F50" s="4">
        <f>F48+F49</f>
        <v>491175.75</v>
      </c>
      <c r="G50" s="4">
        <f>G48+G49</f>
        <v>4254.25</v>
      </c>
      <c r="H50" s="4">
        <f>H48+H49</f>
        <v>-25.75</v>
      </c>
    </row>
    <row r="51" spans="3:8" ht="12.75">
      <c r="C51" s="13"/>
      <c r="D51" s="4"/>
      <c r="E51" s="13"/>
      <c r="F51" s="13"/>
      <c r="G51" s="13"/>
      <c r="H51" s="13"/>
    </row>
    <row r="52" spans="1:8" ht="12.75">
      <c r="A52" t="s">
        <v>105</v>
      </c>
      <c r="C52" s="4">
        <f>C45-C50</f>
        <v>1279058</v>
      </c>
      <c r="D52" s="4"/>
      <c r="E52" s="4">
        <f>E45-E50</f>
        <v>1293212</v>
      </c>
      <c r="F52" s="4">
        <f>F45-F50</f>
        <v>1278963.3</v>
      </c>
      <c r="G52" s="19">
        <f>F52-E52</f>
        <v>-14248.699999999953</v>
      </c>
      <c r="H52" s="19">
        <f>F52-C52</f>
        <v>-94.69999999995343</v>
      </c>
    </row>
    <row r="53" spans="3:5" ht="12.75">
      <c r="C53" s="4"/>
      <c r="D53" s="4"/>
      <c r="E53" s="4"/>
    </row>
    <row r="54" spans="1:8" ht="12.75">
      <c r="A54" t="s">
        <v>106</v>
      </c>
      <c r="C54" s="4">
        <f>(B7*B17*B14)+(B8*B18*B14)</f>
        <v>1008150</v>
      </c>
      <c r="D54" s="1">
        <f>F54/((D43*D18)+(D44*D17))</f>
        <v>15.022239869733854</v>
      </c>
      <c r="E54" s="4">
        <f>(D43*B18*B14)+(D44*B17*B14)</f>
        <v>1025550</v>
      </c>
      <c r="F54" s="4">
        <v>1077222.28769881</v>
      </c>
      <c r="G54" s="19">
        <f>E54-F54</f>
        <v>-51672.28769880999</v>
      </c>
      <c r="H54" s="19">
        <f>C54-F54</f>
        <v>-69072.28769880999</v>
      </c>
    </row>
    <row r="55" spans="1:8" ht="12.75">
      <c r="A55" t="s">
        <v>107</v>
      </c>
      <c r="C55" s="4">
        <f>C29</f>
        <v>50000</v>
      </c>
      <c r="D55" s="4"/>
      <c r="E55" s="4">
        <f>C55</f>
        <v>50000</v>
      </c>
      <c r="F55" s="4">
        <v>52500</v>
      </c>
      <c r="G55" s="19">
        <f aca="true" t="shared" si="0" ref="G55:G60">E55-F55</f>
        <v>-2500</v>
      </c>
      <c r="H55" s="19">
        <f aca="true" t="shared" si="1" ref="H55:H60">C55-F55</f>
        <v>-2500</v>
      </c>
    </row>
    <row r="56" spans="1:8" ht="12.75">
      <c r="A56" t="s">
        <v>109</v>
      </c>
      <c r="C56" s="4">
        <f>(C54+C55)*B31</f>
        <v>105815</v>
      </c>
      <c r="D56" s="4"/>
      <c r="E56" s="4">
        <f>(E54+E55)*B31</f>
        <v>107555</v>
      </c>
      <c r="F56" s="4">
        <f>(F54+F55)*B31</f>
        <v>112972.22876988101</v>
      </c>
      <c r="G56" s="19">
        <f t="shared" si="0"/>
        <v>-5417.2287698810105</v>
      </c>
      <c r="H56" s="19">
        <f t="shared" si="1"/>
        <v>-7157.2287698810105</v>
      </c>
    </row>
    <row r="57" spans="1:8" ht="12.75">
      <c r="A57" t="s">
        <v>113</v>
      </c>
      <c r="C57" s="4">
        <f>C35</f>
        <v>6000</v>
      </c>
      <c r="D57" s="4"/>
      <c r="E57" s="4">
        <f>C57</f>
        <v>6000</v>
      </c>
      <c r="F57">
        <v>5975</v>
      </c>
      <c r="G57" s="19">
        <f t="shared" si="0"/>
        <v>25</v>
      </c>
      <c r="H57" s="19">
        <f t="shared" si="1"/>
        <v>25</v>
      </c>
    </row>
    <row r="58" spans="1:8" ht="12.75">
      <c r="A58" t="s">
        <v>110</v>
      </c>
      <c r="C58" s="4">
        <f>C30</f>
        <v>9000</v>
      </c>
      <c r="D58" s="4"/>
      <c r="E58" s="4">
        <f>C58</f>
        <v>9000</v>
      </c>
      <c r="F58">
        <v>9100</v>
      </c>
      <c r="G58" s="19">
        <f t="shared" si="0"/>
        <v>-100</v>
      </c>
      <c r="H58" s="19">
        <f t="shared" si="1"/>
        <v>-100</v>
      </c>
    </row>
    <row r="59" spans="1:8" ht="12.75">
      <c r="A59" t="s">
        <v>111</v>
      </c>
      <c r="C59" s="4">
        <f>C32</f>
        <v>3000</v>
      </c>
      <c r="D59" s="4"/>
      <c r="E59" s="4">
        <f>C59</f>
        <v>3000</v>
      </c>
      <c r="F59">
        <v>3000</v>
      </c>
      <c r="G59" s="19">
        <f t="shared" si="0"/>
        <v>0</v>
      </c>
      <c r="H59" s="19">
        <f t="shared" si="1"/>
        <v>0</v>
      </c>
    </row>
    <row r="60" spans="1:8" ht="12.75">
      <c r="A60" t="s">
        <v>112</v>
      </c>
      <c r="C60" s="13">
        <f>C33</f>
        <v>975</v>
      </c>
      <c r="D60" s="4"/>
      <c r="E60" s="13">
        <f>C60</f>
        <v>975</v>
      </c>
      <c r="F60" s="22">
        <v>975</v>
      </c>
      <c r="G60" s="20">
        <f t="shared" si="0"/>
        <v>0</v>
      </c>
      <c r="H60" s="20">
        <f t="shared" si="1"/>
        <v>0</v>
      </c>
    </row>
    <row r="61" spans="1:8" ht="12.75">
      <c r="A61" t="s">
        <v>114</v>
      </c>
      <c r="C61" s="4">
        <f>SUM(C54:C60)</f>
        <v>1182940</v>
      </c>
      <c r="D61" s="4"/>
      <c r="E61" s="4">
        <f>SUM(E54:E60)</f>
        <v>1202080</v>
      </c>
      <c r="F61" s="4">
        <f>SUM(F54:F60)</f>
        <v>1261744.516468691</v>
      </c>
      <c r="G61" s="4">
        <f>SUM(G54:G60)</f>
        <v>-59664.516468691</v>
      </c>
      <c r="H61" s="4">
        <f>SUM(H54:H60)</f>
        <v>-78804.516468691</v>
      </c>
    </row>
    <row r="62" spans="3:5" ht="12.75">
      <c r="C62" s="4"/>
      <c r="D62" s="4"/>
      <c r="E62" s="4"/>
    </row>
    <row r="63" spans="1:8" ht="12.75">
      <c r="A63" t="s">
        <v>115</v>
      </c>
      <c r="C63" s="4">
        <f>C52-C61</f>
        <v>96118</v>
      </c>
      <c r="D63" s="4"/>
      <c r="E63" s="4">
        <f>E52-E61</f>
        <v>91132</v>
      </c>
      <c r="F63" s="4">
        <f>F52-F61</f>
        <v>17218.783531309105</v>
      </c>
      <c r="G63" s="4">
        <f>F63-E63</f>
        <v>-73913.2164686909</v>
      </c>
      <c r="H63" s="4">
        <f>F63-C63</f>
        <v>-78899.2164686909</v>
      </c>
    </row>
    <row r="64" spans="1:8" ht="12.75">
      <c r="A64" t="s">
        <v>116</v>
      </c>
      <c r="C64" s="13">
        <f>C34</f>
        <v>50000</v>
      </c>
      <c r="D64" s="4"/>
      <c r="E64" s="13">
        <f>C64</f>
        <v>50000</v>
      </c>
      <c r="F64" s="13">
        <v>50000</v>
      </c>
      <c r="G64" s="20">
        <f>E64-F64</f>
        <v>0</v>
      </c>
      <c r="H64" s="20">
        <f>C64-F64</f>
        <v>0</v>
      </c>
    </row>
    <row r="65" spans="1:8" ht="12.75">
      <c r="A65" t="s">
        <v>117</v>
      </c>
      <c r="C65" s="4">
        <f>C63-C64</f>
        <v>46118</v>
      </c>
      <c r="D65" s="4"/>
      <c r="E65" s="4">
        <f>E63-E64</f>
        <v>41132</v>
      </c>
      <c r="F65" s="4">
        <f>F63-F64</f>
        <v>-32781.216468690895</v>
      </c>
      <c r="G65" s="4">
        <f>G63-G64</f>
        <v>-73913.2164686909</v>
      </c>
      <c r="H65" s="4">
        <f>H63-H64</f>
        <v>-78899.2164686909</v>
      </c>
    </row>
    <row r="66" spans="3:8" ht="12.75">
      <c r="C66" s="4"/>
      <c r="D66" s="4"/>
      <c r="E66" s="4"/>
      <c r="F66" s="4"/>
      <c r="G66" s="4"/>
      <c r="H66" s="4"/>
    </row>
    <row r="67" spans="1:8" ht="12.75">
      <c r="A67" t="s">
        <v>118</v>
      </c>
      <c r="C67" s="4">
        <f>B37*C65</f>
        <v>19369.559999999998</v>
      </c>
      <c r="D67" s="4"/>
      <c r="E67" s="4">
        <f>$B$37*E65</f>
        <v>17275.44</v>
      </c>
      <c r="F67" s="4">
        <f>$B$37*F65</f>
        <v>-13768.110916850175</v>
      </c>
      <c r="G67" s="19">
        <f>E67-F67</f>
        <v>31043.550916850174</v>
      </c>
      <c r="H67" s="19">
        <f>C67-F67</f>
        <v>33137.67091685017</v>
      </c>
    </row>
    <row r="68" spans="3:8" ht="12.75">
      <c r="C68" s="4"/>
      <c r="D68" s="4"/>
      <c r="E68" s="4"/>
      <c r="F68" s="4"/>
      <c r="G68" s="4"/>
      <c r="H68" s="4"/>
    </row>
    <row r="69" spans="1:8" ht="12.75">
      <c r="A69" t="s">
        <v>119</v>
      </c>
      <c r="C69" s="4">
        <f>C65-C67</f>
        <v>26748.440000000002</v>
      </c>
      <c r="D69" s="4"/>
      <c r="E69" s="4">
        <f>E65-E67</f>
        <v>23856.56</v>
      </c>
      <c r="F69" s="4">
        <f>F65-F67</f>
        <v>-19013.10555184072</v>
      </c>
      <c r="G69" s="4">
        <f>F69-E69</f>
        <v>-42869.66555184072</v>
      </c>
      <c r="H69" s="4">
        <f>F69-C69</f>
        <v>-45761.545551840725</v>
      </c>
    </row>
    <row r="70" spans="3:5" ht="12.75">
      <c r="C70" s="4"/>
      <c r="D70" s="4"/>
      <c r="E70" s="4"/>
    </row>
    <row r="71" spans="1:8" ht="12.75">
      <c r="A71" s="26" t="s">
        <v>125</v>
      </c>
      <c r="B71" s="26"/>
      <c r="C71" s="26"/>
      <c r="D71" s="26"/>
      <c r="E71" s="26"/>
      <c r="F71" s="26"/>
      <c r="G71" s="26"/>
      <c r="H71" s="26"/>
    </row>
    <row r="73" spans="1:8" ht="12.75">
      <c r="A73" s="23" t="s">
        <v>135</v>
      </c>
      <c r="C73" t="s">
        <v>134</v>
      </c>
      <c r="D73" t="s">
        <v>133</v>
      </c>
      <c r="E73" t="s">
        <v>132</v>
      </c>
      <c r="F73" t="s">
        <v>131</v>
      </c>
      <c r="G73" t="s">
        <v>130</v>
      </c>
      <c r="H73" t="s">
        <v>127</v>
      </c>
    </row>
    <row r="74" spans="1:8" ht="12.75">
      <c r="A74" t="s">
        <v>128</v>
      </c>
      <c r="C74">
        <v>467</v>
      </c>
      <c r="D74">
        <v>477</v>
      </c>
      <c r="E74">
        <v>487</v>
      </c>
      <c r="F74">
        <v>497</v>
      </c>
      <c r="G74">
        <v>507</v>
      </c>
      <c r="H74" s="24">
        <f>ROUND(480*(1+'Income Information'!D3),0)</f>
        <v>517</v>
      </c>
    </row>
    <row r="75" spans="1:8" ht="12.75">
      <c r="A75" t="s">
        <v>129</v>
      </c>
      <c r="C75">
        <v>2458</v>
      </c>
      <c r="D75">
        <v>2483</v>
      </c>
      <c r="E75">
        <v>2508</v>
      </c>
      <c r="F75">
        <v>2533</v>
      </c>
      <c r="G75">
        <v>2559</v>
      </c>
      <c r="H75" s="24">
        <f>ROUND(2400*(1+'Income Information'!D3),0)</f>
        <v>2585</v>
      </c>
    </row>
    <row r="77" ht="12.75">
      <c r="A77" s="23" t="s">
        <v>136</v>
      </c>
    </row>
    <row r="78" spans="1:8" ht="12.75">
      <c r="A78" t="s">
        <v>128</v>
      </c>
      <c r="C78">
        <v>470</v>
      </c>
      <c r="D78">
        <v>456</v>
      </c>
      <c r="E78">
        <v>442</v>
      </c>
      <c r="F78">
        <v>429</v>
      </c>
      <c r="G78">
        <v>416</v>
      </c>
      <c r="H78">
        <v>421</v>
      </c>
    </row>
    <row r="79" spans="1:8" ht="12.75">
      <c r="A79" t="s">
        <v>129</v>
      </c>
      <c r="C79">
        <v>2460</v>
      </c>
      <c r="D79">
        <v>2522</v>
      </c>
      <c r="E79">
        <v>2585</v>
      </c>
      <c r="F79">
        <v>2650</v>
      </c>
      <c r="G79">
        <v>2716</v>
      </c>
      <c r="H79">
        <v>2787</v>
      </c>
    </row>
  </sheetData>
  <mergeCells count="4">
    <mergeCell ref="A71:H71"/>
    <mergeCell ref="A39:H39"/>
    <mergeCell ref="A1:H1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7" sqref="A7"/>
    </sheetView>
  </sheetViews>
  <sheetFormatPr defaultColWidth="9.140625" defaultRowHeight="12.75"/>
  <cols>
    <col min="1" max="1" width="36.57421875" style="0" bestFit="1" customWidth="1"/>
  </cols>
  <sheetData>
    <row r="1" spans="1:8" ht="12.75">
      <c r="A1" s="25" t="s">
        <v>90</v>
      </c>
      <c r="B1" s="25"/>
      <c r="C1" s="25"/>
      <c r="D1" s="25"/>
      <c r="E1" s="25"/>
      <c r="F1" s="25"/>
      <c r="G1" s="25"/>
      <c r="H1" s="25"/>
    </row>
    <row r="3" spans="1:8" ht="12.75">
      <c r="A3" t="s">
        <v>75</v>
      </c>
      <c r="B3" s="2" t="s">
        <v>76</v>
      </c>
      <c r="C3" s="5" t="s">
        <v>79</v>
      </c>
      <c r="D3" s="5" t="s">
        <v>80</v>
      </c>
      <c r="E3" s="5" t="s">
        <v>81</v>
      </c>
      <c r="F3" s="5" t="s">
        <v>82</v>
      </c>
      <c r="G3" s="5" t="s">
        <v>83</v>
      </c>
      <c r="H3" s="5" t="s">
        <v>84</v>
      </c>
    </row>
    <row r="4" spans="1:8" ht="12.75">
      <c r="A4" t="s">
        <v>87</v>
      </c>
      <c r="B4" s="7">
        <v>10</v>
      </c>
      <c r="C4" s="1"/>
      <c r="D4" s="1"/>
      <c r="E4" s="1"/>
      <c r="F4" s="1">
        <v>1.5</v>
      </c>
      <c r="G4" s="1">
        <v>0.5</v>
      </c>
      <c r="H4" s="1"/>
    </row>
    <row r="5" spans="1:8" ht="12.75">
      <c r="A5" t="s">
        <v>86</v>
      </c>
      <c r="B5" s="1">
        <f>25*'Income Information'!D4</f>
        <v>25</v>
      </c>
      <c r="C5" s="1"/>
      <c r="D5" s="1"/>
      <c r="E5" s="1"/>
      <c r="F5" s="1">
        <v>7.5</v>
      </c>
      <c r="G5" s="1">
        <v>2.5</v>
      </c>
      <c r="H5" s="1">
        <v>15</v>
      </c>
    </row>
    <row r="6" spans="1:8" ht="12.75">
      <c r="A6" t="s">
        <v>77</v>
      </c>
      <c r="B6" s="1">
        <f>140*'Income Information'!D4</f>
        <v>140</v>
      </c>
      <c r="C6" s="1">
        <v>80</v>
      </c>
      <c r="D6" s="1">
        <v>40</v>
      </c>
      <c r="E6" s="1">
        <v>20</v>
      </c>
      <c r="F6" s="1"/>
      <c r="G6" s="1"/>
      <c r="H6" s="1"/>
    </row>
    <row r="7" spans="1:8" ht="12.75">
      <c r="A7" t="s">
        <v>78</v>
      </c>
      <c r="B7" s="1">
        <f>250*'Income Information'!D4</f>
        <v>250</v>
      </c>
      <c r="C7" s="1">
        <v>160</v>
      </c>
      <c r="D7" s="1">
        <v>60</v>
      </c>
      <c r="E7" s="1">
        <v>30</v>
      </c>
      <c r="F7" s="1"/>
      <c r="G7" s="1"/>
      <c r="H7" s="1"/>
    </row>
    <row r="8" ht="12.75">
      <c r="B8" s="1"/>
    </row>
    <row r="9" spans="1:2" ht="12.75">
      <c r="A9" t="s">
        <v>88</v>
      </c>
      <c r="B9" s="1">
        <v>27.5</v>
      </c>
    </row>
    <row r="10" spans="1:2" ht="12.75">
      <c r="A10" t="s">
        <v>89</v>
      </c>
      <c r="B10" s="1">
        <v>10</v>
      </c>
    </row>
    <row r="11" ht="12.75">
      <c r="B11" s="8"/>
    </row>
    <row r="12" spans="1:2" ht="12.75">
      <c r="A12" t="s">
        <v>92</v>
      </c>
      <c r="B12" s="4">
        <f>B13/5</f>
        <v>62.040000000000006</v>
      </c>
    </row>
    <row r="13" spans="1:2" ht="12.75">
      <c r="A13" t="s">
        <v>91</v>
      </c>
      <c r="B13" s="4">
        <f>1/10*('Income Information'!B10+'Income Information'!B11)</f>
        <v>310.20000000000005</v>
      </c>
    </row>
    <row r="14" ht="12.75">
      <c r="B14" s="4"/>
    </row>
    <row r="15" spans="1:6" ht="12.75">
      <c r="A15" t="s">
        <v>93</v>
      </c>
      <c r="B15" s="4"/>
      <c r="C15" s="5"/>
      <c r="D15" s="5"/>
      <c r="E15" s="5"/>
      <c r="F15" s="5"/>
    </row>
    <row r="16" spans="1:2" ht="12.75">
      <c r="A16" t="s">
        <v>85</v>
      </c>
      <c r="B16" s="4">
        <f>3*B12</f>
        <v>186.12</v>
      </c>
    </row>
    <row r="17" spans="1:2" ht="12.75">
      <c r="A17" t="s">
        <v>94</v>
      </c>
      <c r="B17" s="4">
        <f>1.5*B13</f>
        <v>465.30000000000007</v>
      </c>
    </row>
    <row r="18" spans="1:2" ht="12.75">
      <c r="A18" t="s">
        <v>1</v>
      </c>
      <c r="B18" s="4">
        <f>2*'Income Information'!B10</f>
        <v>5170</v>
      </c>
    </row>
    <row r="19" spans="1:2" ht="12.75">
      <c r="A19" t="s">
        <v>2</v>
      </c>
      <c r="B19" s="4">
        <f>2*'Income Information'!B11</f>
        <v>1034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Anthony</cp:lastModifiedBy>
  <cp:lastPrinted>2007-06-20T23:39:01Z</cp:lastPrinted>
  <dcterms:created xsi:type="dcterms:W3CDTF">2007-06-19T16:39:53Z</dcterms:created>
  <dcterms:modified xsi:type="dcterms:W3CDTF">2011-06-01T23:04:46Z</dcterms:modified>
  <cp:category/>
  <cp:version/>
  <cp:contentType/>
  <cp:contentStatus/>
</cp:coreProperties>
</file>