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NOVA" sheetId="1" r:id="rId1"/>
    <sheet name="Graph" sheetId="2" r:id="rId2"/>
  </sheets>
  <definedNames>
    <definedName name="_xlnm.Print_Area" localSheetId="0">'ANOVA'!$A$3:$O$36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Dr. Jim Mirabella</author>
  </authors>
  <commentList>
    <comment ref="H20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G24" authorId="0">
      <text>
        <r>
          <rPr>
            <b/>
            <sz val="8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K25" authorId="0">
      <text>
        <r>
          <rPr>
            <b/>
            <sz val="8"/>
            <rFont val="Tahoma"/>
            <family val="2"/>
          </rPr>
          <t>If the confidence interval does not contain the ZERO, the means are concluded to be different.</t>
        </r>
      </text>
    </comment>
    <comment ref="H21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sharedStrings.xml><?xml version="1.0" encoding="utf-8"?>
<sst xmlns="http://schemas.openxmlformats.org/spreadsheetml/2006/main" count="39" uniqueCount="38">
  <si>
    <t>Group A</t>
  </si>
  <si>
    <t>Group B</t>
  </si>
  <si>
    <t>Group C</t>
  </si>
  <si>
    <t>Group D</t>
  </si>
  <si>
    <t>Group E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</si>
  <si>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</si>
  <si>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</si>
  <si>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</si>
  <si>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</si>
  <si>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</si>
  <si>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</si>
  <si>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</si>
  <si>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</si>
  <si>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</si>
  <si>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</si>
  <si>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</si>
  <si>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</si>
  <si>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F crit</t>
  </si>
  <si>
    <t>Total</t>
  </si>
  <si>
    <t>Decision:</t>
  </si>
  <si>
    <t>Null hypothesis:</t>
  </si>
  <si>
    <t>Alternate hypothesis:</t>
  </si>
  <si>
    <t>Not all the means are equal</t>
  </si>
  <si>
    <t>Significance level:</t>
  </si>
  <si>
    <t>Comparison</t>
  </si>
  <si>
    <t>Difference</t>
  </si>
  <si>
    <t>of Means</t>
  </si>
  <si>
    <t>Lower</t>
  </si>
  <si>
    <t>Upper</t>
  </si>
  <si>
    <t>Difference in</t>
  </si>
  <si>
    <t>Treatment Means???</t>
  </si>
  <si>
    <t>Treatment</t>
  </si>
  <si>
    <t>Error</t>
  </si>
  <si>
    <t>Mean Differences Post-Hoc Tests</t>
  </si>
  <si>
    <t>Conf. Limit</t>
  </si>
  <si>
    <t>p-Value</t>
  </si>
  <si>
    <t xml:space="preserve">     ©2007 DrJimMirabella.com</t>
  </si>
  <si>
    <t>Analysis of Variance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</si>
</sst>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.00%"/>
    <numFmt numFmtId="186" formatCode="0.0000E+00"/>
    <numFmt numFmtId="187" formatCode="0.000E+00"/>
    <numFmt numFmtId="188" formatCode="0.0E+00"/>
    <numFmt numFmtId="189" formatCode="0E+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0"/>
      <name val="Symbol"/>
      <family val="1"/>
    </font>
    <font>
      <sz val="10"/>
      <name val="Century Gothic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167" fontId="3" fillId="33" borderId="11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167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7" fontId="0" fillId="34" borderId="0" xfId="0" applyNumberFormat="1" applyFill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7" fillId="7" borderId="21" xfId="0" applyFont="1" applyFill="1" applyBorder="1" applyAlignment="1" applyProtection="1">
      <alignment/>
      <protection/>
    </xf>
    <xf numFmtId="0" fontId="7" fillId="7" borderId="22" xfId="0" applyFont="1" applyFill="1" applyBorder="1" applyAlignment="1" applyProtection="1">
      <alignment/>
      <protection/>
    </xf>
    <xf numFmtId="0" fontId="7" fillId="7" borderId="23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35" borderId="24" xfId="0" applyNumberFormat="1" applyFont="1" applyFill="1" applyBorder="1" applyAlignment="1" applyProtection="1">
      <alignment horizontal="center"/>
      <protection locked="0"/>
    </xf>
    <xf numFmtId="0" fontId="3" fillId="35" borderId="25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0" fillId="35" borderId="26" xfId="0" applyNumberFormat="1" applyFill="1" applyBorder="1" applyAlignment="1" applyProtection="1">
      <alignment horizontal="center"/>
      <protection locked="0"/>
    </xf>
    <xf numFmtId="0" fontId="0" fillId="35" borderId="27" xfId="0" applyNumberForma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Border="1" applyAlignment="1" applyProtection="1">
      <alignment horizontal="center"/>
      <protection locked="0"/>
    </xf>
    <xf numFmtId="0" fontId="0" fillId="35" borderId="26" xfId="0" applyNumberFormat="1" applyFont="1" applyFill="1" applyBorder="1" applyAlignment="1" applyProtection="1">
      <alignment horizontal="center"/>
      <protection locked="0"/>
    </xf>
    <xf numFmtId="0" fontId="0" fillId="35" borderId="27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of Groups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ANOVA!$V$5:$V$9</c:f>
              <c:numCache>
                <c:ptCount val="5"/>
                <c:pt idx="0">
                  <c:v>15.935330810555838</c:v>
                </c:pt>
                <c:pt idx="1">
                  <c:v>20.179191350401332</c:v>
                </c:pt>
                <c:pt idx="2">
                  <c:v>26.84628366442591</c:v>
                </c:pt>
                <c:pt idx="3">
                  <c:v>20.455948384992777</c:v>
                </c:pt>
                <c:pt idx="4">
                  <c:v>17.673911065466292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ANOVA!$W$5:$W$9</c:f>
              <c:numCache>
                <c:ptCount val="5"/>
                <c:pt idx="0">
                  <c:v>12.904669189444162</c:v>
                </c:pt>
                <c:pt idx="1">
                  <c:v>16.790808649598624</c:v>
                </c:pt>
                <c:pt idx="2">
                  <c:v>22.933716335574083</c:v>
                </c:pt>
                <c:pt idx="3">
                  <c:v>15.664051615007207</c:v>
                </c:pt>
                <c:pt idx="4">
                  <c:v>15.238088934533664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ANOVA!$X$5:$X$9</c:f>
              <c:numCache>
                <c:ptCount val="5"/>
                <c:pt idx="0">
                  <c:v>14.42</c:v>
                </c:pt>
                <c:pt idx="1">
                  <c:v>18.484999999999978</c:v>
                </c:pt>
                <c:pt idx="2">
                  <c:v>24.889999999999997</c:v>
                </c:pt>
                <c:pt idx="3">
                  <c:v>18.05999999999999</c:v>
                </c:pt>
                <c:pt idx="4">
                  <c:v>16.455999999999978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40260150"/>
        <c:axId val="26693663"/>
      </c:lineChart>
      <c:catAx>
        <c:axId val="40260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663"/>
        <c:crosses val="autoZero"/>
        <c:auto val="1"/>
        <c:lblOffset val="100"/>
        <c:tickLblSkip val="1"/>
        <c:noMultiLvlLbl val="0"/>
      </c:catAx>
      <c:valAx>
        <c:axId val="26693663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6015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5" width="10.28125" style="1" bestFit="1" customWidth="1"/>
    <col min="6" max="6" width="9.140625" style="1" customWidth="1"/>
    <col min="7" max="7" width="22.421875" style="1" customWidth="1"/>
    <col min="8" max="8" width="9.8515625" style="1" customWidth="1"/>
    <col min="9" max="9" width="11.7109375" style="1" customWidth="1"/>
    <col min="10" max="11" width="10.57421875" style="1" customWidth="1"/>
    <col min="12" max="12" width="12.421875" style="1" customWidth="1"/>
    <col min="13" max="14" width="0" style="1" hidden="1" customWidth="1"/>
    <col min="15" max="16384" width="9.140625" style="1" customWidth="1"/>
  </cols>
  <sheetData>
    <row r="1" spans="1:3" s="54" customFormat="1" ht="20.25">
      <c r="A1" s="55" t="s">
        <v>37</v>
      </c>
      <c r="B1" s="56"/>
      <c r="C1" s="57"/>
    </row>
    <row r="2" spans="1:6" ht="12.75" customHeight="1">
      <c r="A2" s="58"/>
      <c r="B2" s="58"/>
      <c r="D2" s="59"/>
      <c r="E2" s="60"/>
      <c r="F2" s="60"/>
    </row>
    <row r="3" spans="1:13" ht="13.5" thickBot="1">
      <c r="A3" s="61" t="s">
        <v>0</v>
      </c>
      <c r="B3" s="62" t="s">
        <v>1</v>
      </c>
      <c r="C3" s="62" t="s">
        <v>2</v>
      </c>
      <c r="D3" s="62" t="s">
        <v>3</v>
      </c>
      <c r="E3" s="63" t="s">
        <v>4</v>
      </c>
      <c r="G3" s="5" t="s">
        <v>5</v>
      </c>
      <c r="H3" s="2"/>
      <c r="M3" s="3">
        <f>AVERAGE(A4:E28)</f>
        <v>18.219066666666656</v>
      </c>
    </row>
    <row r="4" spans="1:11" ht="12.75">
      <c r="A4" s="64">
        <v>18.5</v>
      </c>
      <c r="B4" s="65">
        <v>26.3</v>
      </c>
      <c r="C4" s="65">
        <v>20.6</v>
      </c>
      <c r="D4" s="65">
        <v>25.4</v>
      </c>
      <c r="E4" s="66">
        <v>12.4799999999999</v>
      </c>
      <c r="G4" s="6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24" ht="12.75">
      <c r="A5" s="64">
        <v>24</v>
      </c>
      <c r="B5" s="65">
        <v>25.3</v>
      </c>
      <c r="C5" s="65">
        <v>25.2</v>
      </c>
      <c r="D5" s="65">
        <v>19.9</v>
      </c>
      <c r="E5" s="67">
        <v>14.96</v>
      </c>
      <c r="G5" s="7" t="str">
        <f>A3</f>
        <v>Group A</v>
      </c>
      <c r="H5" s="11">
        <f>COUNT(A4:A28)</f>
        <v>25</v>
      </c>
      <c r="I5" s="12">
        <f>SUM(A4:A28)</f>
        <v>360.5</v>
      </c>
      <c r="J5" s="12">
        <f>IF(H5&gt;0,I5/H5,"")</f>
        <v>14.42</v>
      </c>
      <c r="K5" s="12">
        <f>IF(H5&gt;0,VAR(A4:A28),"")</f>
        <v>15.186541666666699</v>
      </c>
      <c r="M5" s="1">
        <f>IF(H5&gt;0,H5*((J5-$M$3)^2),0)</f>
        <v>360.8226884444424</v>
      </c>
      <c r="N5" s="1">
        <f>IF(H5&gt;0,K5*(H5-1),0)</f>
        <v>364.47700000000077</v>
      </c>
      <c r="T5" s="46">
        <f>IF(H5&gt;0,(H5-1)*K5,0)</f>
        <v>364.47700000000077</v>
      </c>
      <c r="U5" s="46" t="str">
        <f>G5</f>
        <v>Group A</v>
      </c>
      <c r="V5" s="47">
        <f>$J5+$T$10*TINV($H$20,$I$14)/SQRT($H5)</f>
        <v>15.935330810555838</v>
      </c>
      <c r="W5" s="47">
        <f>$J5-$T$10*TINV($H$20,$I$14)/SQRT($H5)</f>
        <v>12.904669189444162</v>
      </c>
      <c r="X5" s="47">
        <f>J5</f>
        <v>14.42</v>
      </c>
    </row>
    <row r="6" spans="1:24" ht="12.75">
      <c r="A6" s="64">
        <v>17.2</v>
      </c>
      <c r="B6" s="65">
        <v>24</v>
      </c>
      <c r="C6" s="65">
        <v>20.8</v>
      </c>
      <c r="D6" s="65">
        <v>22.6</v>
      </c>
      <c r="E6" s="67">
        <v>17.44</v>
      </c>
      <c r="G6" s="7" t="str">
        <f>B3</f>
        <v>Group B</v>
      </c>
      <c r="H6" s="11">
        <f>COUNT(B4:B28)</f>
        <v>20</v>
      </c>
      <c r="I6" s="12">
        <f>SUM(B4:B28)</f>
        <v>369.69999999999953</v>
      </c>
      <c r="J6" s="12">
        <f>IF(H6&gt;0,I6/H6,"")</f>
        <v>18.484999999999978</v>
      </c>
      <c r="K6" s="12">
        <f>IF(H6&gt;0,VAR(B4:B28),"")</f>
        <v>21.21481578947389</v>
      </c>
      <c r="M6" s="1">
        <f>IF(H6&gt;0,H6*((J6-$M$3)^2),0)</f>
        <v>1.4144107555554377</v>
      </c>
      <c r="N6" s="1">
        <f>IF(H6&gt;0,K6*(H6-1),0)</f>
        <v>403.08150000000387</v>
      </c>
      <c r="T6" s="46">
        <f>IF(H6&gt;0,(H6-1)*K6,0)</f>
        <v>403.08150000000387</v>
      </c>
      <c r="U6" s="46" t="str">
        <f>G6</f>
        <v>Group B</v>
      </c>
      <c r="V6" s="47">
        <f>$J6+$T$10*TINV($H$20,$I$14)/SQRT($H6)</f>
        <v>20.179191350401332</v>
      </c>
      <c r="W6" s="47">
        <f>$J6-$T$10*TINV($H$20,$I$14)/SQRT($H6)</f>
        <v>16.790808649598624</v>
      </c>
      <c r="X6" s="47">
        <f>J6</f>
        <v>18.484999999999978</v>
      </c>
    </row>
    <row r="7" spans="1:24" ht="12.75">
      <c r="A7" s="64">
        <v>19.9</v>
      </c>
      <c r="B7" s="65">
        <v>21.2</v>
      </c>
      <c r="C7" s="65">
        <v>24.7</v>
      </c>
      <c r="D7" s="65">
        <v>17.5</v>
      </c>
      <c r="E7" s="67">
        <v>17.5</v>
      </c>
      <c r="G7" s="7" t="str">
        <f>C3</f>
        <v>Group C</v>
      </c>
      <c r="H7" s="11">
        <f>COUNT(C4:C28)</f>
        <v>15</v>
      </c>
      <c r="I7" s="12">
        <f>SUM(C4:C28)</f>
        <v>373.34999999999997</v>
      </c>
      <c r="J7" s="12">
        <f>IF(H7&gt;0,I7/H7,"")</f>
        <v>24.889999999999997</v>
      </c>
      <c r="K7" s="12">
        <f>IF(H7&gt;0,VAR(C4:C28),"")</f>
        <v>4.542785714285726</v>
      </c>
      <c r="L7" s="4"/>
      <c r="M7" s="1">
        <f>IF(H7&gt;0,H7*((J7-$M$3)^2),0)</f>
        <v>667.5202730666682</v>
      </c>
      <c r="N7" s="1">
        <f>IF(H7&gt;0,K7*(H7-1),0)</f>
        <v>63.59900000000016</v>
      </c>
      <c r="T7" s="46">
        <f>IF(H7&gt;0,(H7-1)*K7,0)</f>
        <v>63.59900000000016</v>
      </c>
      <c r="U7" s="46" t="str">
        <f>G7</f>
        <v>Group C</v>
      </c>
      <c r="V7" s="47">
        <f>$J7+$T$10*TINV($H$20,$I$14)/SQRT($H7)</f>
        <v>26.84628366442591</v>
      </c>
      <c r="W7" s="47">
        <f>$J7-$T$10*TINV($H$20,$I$14)/SQRT($H7)</f>
        <v>22.933716335574083</v>
      </c>
      <c r="X7" s="47">
        <f>J7</f>
        <v>24.889999999999997</v>
      </c>
    </row>
    <row r="8" spans="1:24" ht="12.75">
      <c r="A8" s="68">
        <v>18</v>
      </c>
      <c r="B8" s="69">
        <v>24.5</v>
      </c>
      <c r="C8" s="69">
        <v>22.9</v>
      </c>
      <c r="D8" s="69">
        <v>20.4</v>
      </c>
      <c r="E8" s="67">
        <v>19.9</v>
      </c>
      <c r="G8" s="8" t="str">
        <f>D3</f>
        <v>Group D</v>
      </c>
      <c r="H8" s="5">
        <f>COUNT(D4:D28)</f>
        <v>10</v>
      </c>
      <c r="I8" s="13">
        <f>SUM(D4:D28)</f>
        <v>180.5999999999999</v>
      </c>
      <c r="J8" s="12">
        <f>IF(H8&gt;0,I8/H8,"")</f>
        <v>18.05999999999999</v>
      </c>
      <c r="K8" s="12">
        <f>IF(H8&gt;0,VAR(D4:D28),"")</f>
        <v>16.343111111111234</v>
      </c>
      <c r="M8" s="1">
        <f>IF(H8&gt;0,H8*((J8-$M$3)^2),0)</f>
        <v>0.25302204444443677</v>
      </c>
      <c r="N8" s="1">
        <f>IF(H8&gt;0,K8*(H8-1),0)</f>
        <v>147.0880000000011</v>
      </c>
      <c r="T8" s="46">
        <f>IF(H8&gt;0,(H8-1)*K8,0)</f>
        <v>147.0880000000011</v>
      </c>
      <c r="U8" s="46" t="str">
        <f>G8</f>
        <v>Group D</v>
      </c>
      <c r="V8" s="47">
        <f>$J8+$T$10*TINV($H$20,$I$14)/SQRT($H8)</f>
        <v>20.455948384992777</v>
      </c>
      <c r="W8" s="47">
        <f>$J8-$T$10*TINV($H$20,$I$14)/SQRT($H8)</f>
        <v>15.664051615007207</v>
      </c>
      <c r="X8" s="47">
        <f>J8</f>
        <v>18.05999999999999</v>
      </c>
    </row>
    <row r="9" spans="1:24" ht="13.5" thickBot="1">
      <c r="A9" s="64">
        <v>17.99</v>
      </c>
      <c r="B9" s="65">
        <v>21.95</v>
      </c>
      <c r="C9" s="65">
        <v>24.07</v>
      </c>
      <c r="D9" s="65">
        <v>17.44</v>
      </c>
      <c r="E9" s="67"/>
      <c r="G9" s="9" t="str">
        <f>E3</f>
        <v>Group E</v>
      </c>
      <c r="H9" s="14">
        <f>COUNT(E4:E28)</f>
        <v>5</v>
      </c>
      <c r="I9" s="15">
        <f>SUM(E4:E28)</f>
        <v>82.27999999999989</v>
      </c>
      <c r="J9" s="15">
        <f>IF(H9&gt;0,I9/H9,"")</f>
        <v>16.455999999999978</v>
      </c>
      <c r="K9" s="15">
        <f>IF(H9&gt;0,VAR(E4:E28),"")</f>
        <v>7.991480000000308</v>
      </c>
      <c r="M9" s="1">
        <f>IF(H9&gt;0,H9*((J9-$M$3)^2),0)</f>
        <v>15.54202035555575</v>
      </c>
      <c r="N9" s="1">
        <f>IF(H9&gt;0,K9*(H9-1),0)</f>
        <v>31.965920000001233</v>
      </c>
      <c r="T9" s="46">
        <f>IF(H9&gt;0,(H9-1)*K9,0)</f>
        <v>31.965920000001233</v>
      </c>
      <c r="U9" s="46" t="str">
        <f>G9</f>
        <v>Group E</v>
      </c>
      <c r="V9" s="47">
        <f>J9+$T$10*TINV($H$20,H9-1)/SQRT($I$16+1)</f>
        <v>17.673911065466292</v>
      </c>
      <c r="W9" s="47">
        <f>J9-$T$10*TINV($H$20,H9-1)/SQRT($I$16+1)</f>
        <v>15.238088934533664</v>
      </c>
      <c r="X9" s="47">
        <f>J9</f>
        <v>16.455999999999978</v>
      </c>
    </row>
    <row r="10" spans="1:24" ht="12.75">
      <c r="A10" s="64">
        <v>17.48</v>
      </c>
      <c r="B10" s="65">
        <v>21.18</v>
      </c>
      <c r="C10" s="65">
        <v>24.48</v>
      </c>
      <c r="D10" s="65">
        <v>16.2</v>
      </c>
      <c r="E10" s="67"/>
      <c r="T10" s="46">
        <f>SQRT(SUM(T5:T9)/I14)</f>
        <v>3.798893485514672</v>
      </c>
      <c r="U10" s="49"/>
      <c r="V10" s="49"/>
      <c r="W10" s="49"/>
      <c r="X10" s="49"/>
    </row>
    <row r="11" spans="1:12" ht="13.5" thickBot="1">
      <c r="A11" s="64">
        <v>16.97</v>
      </c>
      <c r="B11" s="65">
        <v>20.41</v>
      </c>
      <c r="C11" s="65">
        <v>24.89</v>
      </c>
      <c r="D11" s="65">
        <v>14.96</v>
      </c>
      <c r="E11" s="66"/>
      <c r="G11" s="5" t="s">
        <v>11</v>
      </c>
      <c r="H11" s="2"/>
      <c r="I11" s="2"/>
      <c r="J11" s="2"/>
      <c r="K11" s="2"/>
      <c r="L11" s="2"/>
    </row>
    <row r="12" spans="1:12" ht="12.75">
      <c r="A12" s="64">
        <v>16.46</v>
      </c>
      <c r="B12" s="65">
        <v>19.64</v>
      </c>
      <c r="C12" s="65">
        <v>25.3</v>
      </c>
      <c r="D12" s="65">
        <v>13.72</v>
      </c>
      <c r="E12" s="67"/>
      <c r="G12" s="6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</row>
    <row r="13" spans="1:12" ht="12.75">
      <c r="A13" s="68">
        <v>15.95</v>
      </c>
      <c r="B13" s="69">
        <v>18.87</v>
      </c>
      <c r="C13" s="69">
        <v>25.71</v>
      </c>
      <c r="D13" s="69">
        <v>12.4799999999999</v>
      </c>
      <c r="E13" s="67"/>
      <c r="G13" s="16" t="s">
        <v>31</v>
      </c>
      <c r="H13" s="12">
        <f>SUM(M5:M9)</f>
        <v>1045.5524146666662</v>
      </c>
      <c r="I13" s="11">
        <f>COUNTIF(H5:H9,"&gt;0")-1</f>
        <v>4</v>
      </c>
      <c r="J13" s="12">
        <f>H13/I13</f>
        <v>261.38810366666655</v>
      </c>
      <c r="K13" s="12">
        <f>J13/J14</f>
        <v>18.11221581386056</v>
      </c>
      <c r="L13" s="13">
        <f>FINV(H20,I13,I14)</f>
        <v>2.502656463461241</v>
      </c>
    </row>
    <row r="14" spans="1:12" ht="12.75">
      <c r="A14" s="64">
        <v>15.44</v>
      </c>
      <c r="B14" s="65">
        <v>18.1</v>
      </c>
      <c r="C14" s="65">
        <v>26.12</v>
      </c>
      <c r="D14" s="65"/>
      <c r="E14" s="70"/>
      <c r="G14" s="16" t="s">
        <v>32</v>
      </c>
      <c r="H14" s="12">
        <f>SUM(N5:N9)</f>
        <v>1010.2114200000071</v>
      </c>
      <c r="I14" s="11">
        <f>I16-I13</f>
        <v>70</v>
      </c>
      <c r="J14" s="12">
        <f>H14/I14</f>
        <v>14.431591714285815</v>
      </c>
      <c r="K14" s="12"/>
      <c r="L14" s="12"/>
    </row>
    <row r="15" spans="1:12" ht="12.75">
      <c r="A15" s="64">
        <v>14.93</v>
      </c>
      <c r="B15" s="65">
        <v>17.33</v>
      </c>
      <c r="C15" s="65">
        <v>26.53</v>
      </c>
      <c r="D15" s="65"/>
      <c r="E15" s="70"/>
      <c r="G15" s="16"/>
      <c r="H15" s="12"/>
      <c r="I15" s="11"/>
      <c r="J15" s="11"/>
      <c r="K15" s="11"/>
      <c r="L15" s="11"/>
    </row>
    <row r="16" spans="1:12" ht="13.5" thickBot="1">
      <c r="A16" s="64">
        <v>14.42</v>
      </c>
      <c r="B16" s="65">
        <v>16.56</v>
      </c>
      <c r="C16" s="65">
        <v>26.94</v>
      </c>
      <c r="D16" s="65"/>
      <c r="E16" s="70"/>
      <c r="G16" s="17" t="s">
        <v>18</v>
      </c>
      <c r="H16" s="15">
        <f>H13+H14</f>
        <v>2055.7638346666736</v>
      </c>
      <c r="I16" s="14">
        <f>SUM(H5:H9)-1</f>
        <v>74</v>
      </c>
      <c r="J16" s="14"/>
      <c r="K16" s="14"/>
      <c r="L16" s="14"/>
    </row>
    <row r="17" spans="1:5" ht="13.5" thickBot="1">
      <c r="A17" s="64">
        <v>13.91</v>
      </c>
      <c r="B17" s="65">
        <v>15.79</v>
      </c>
      <c r="C17" s="65">
        <v>27.35</v>
      </c>
      <c r="D17" s="65"/>
      <c r="E17" s="70"/>
    </row>
    <row r="18" spans="1:12" ht="12.75">
      <c r="A18" s="68">
        <v>13.4</v>
      </c>
      <c r="B18" s="69">
        <v>15.02</v>
      </c>
      <c r="C18" s="69">
        <v>27.76</v>
      </c>
      <c r="D18" s="65"/>
      <c r="E18" s="70"/>
      <c r="G18" s="18" t="s">
        <v>20</v>
      </c>
      <c r="H18" s="19" t="str">
        <f>IF(I13=4,"m1 = m2 = m3 = m4 = m5",IF(I13=3,"m1 = m2 = m3 = m4","m1 = m2 = m3"))</f>
        <v>m1 = m2 = m3 = m4 = m5</v>
      </c>
      <c r="I18" s="20"/>
      <c r="J18" s="20"/>
      <c r="K18" s="21"/>
      <c r="L18" s="22"/>
    </row>
    <row r="19" spans="1:12" ht="12.75">
      <c r="A19" s="64">
        <v>12.89</v>
      </c>
      <c r="B19" s="65">
        <v>14.2499999999999</v>
      </c>
      <c r="C19" s="65"/>
      <c r="D19" s="65"/>
      <c r="E19" s="70"/>
      <c r="G19" s="23" t="s">
        <v>21</v>
      </c>
      <c r="H19" s="24" t="s">
        <v>22</v>
      </c>
      <c r="I19" s="24"/>
      <c r="J19" s="24"/>
      <c r="K19" s="25"/>
      <c r="L19" s="26"/>
    </row>
    <row r="20" spans="1:12" ht="12.75">
      <c r="A20" s="64">
        <v>12.38</v>
      </c>
      <c r="B20" s="65">
        <v>13.4799999999999</v>
      </c>
      <c r="C20" s="65"/>
      <c r="D20" s="65"/>
      <c r="E20" s="70"/>
      <c r="G20" s="23" t="s">
        <v>23</v>
      </c>
      <c r="H20" s="50">
        <v>0.05</v>
      </c>
      <c r="I20" s="25"/>
      <c r="J20" s="25"/>
      <c r="K20" s="25"/>
      <c r="L20" s="26"/>
    </row>
    <row r="21" spans="1:12" ht="12.75">
      <c r="A21" s="64">
        <v>11.87</v>
      </c>
      <c r="B21" s="65">
        <v>12.7099999999999</v>
      </c>
      <c r="C21" s="65"/>
      <c r="D21" s="65"/>
      <c r="E21" s="70"/>
      <c r="G21" s="23" t="s">
        <v>35</v>
      </c>
      <c r="H21" s="48">
        <f>FDIST(K13,I13,I14)</f>
        <v>2.982251085819829E-10</v>
      </c>
      <c r="I21" s="25"/>
      <c r="J21" s="25"/>
      <c r="K21" s="25"/>
      <c r="L21" s="26"/>
    </row>
    <row r="22" spans="1:12" ht="13.5" thickBot="1">
      <c r="A22" s="64">
        <v>11.36</v>
      </c>
      <c r="B22" s="65">
        <v>11.9399999999999</v>
      </c>
      <c r="C22" s="65"/>
      <c r="D22" s="65"/>
      <c r="E22" s="70"/>
      <c r="G22" s="27" t="s">
        <v>19</v>
      </c>
      <c r="H22" s="28" t="str">
        <f>IF(K13&gt;L13,"Reject the null hypothesis","Do not reject the null hypothesis")</f>
        <v>Reject the null hypothesis</v>
      </c>
      <c r="I22" s="29"/>
      <c r="J22" s="29"/>
      <c r="K22" s="29"/>
      <c r="L22" s="30"/>
    </row>
    <row r="23" spans="1:5" ht="13.5" thickBot="1">
      <c r="A23" s="64">
        <v>10.85</v>
      </c>
      <c r="B23" s="69">
        <v>11.1699999999999</v>
      </c>
      <c r="C23" s="65"/>
      <c r="D23" s="65"/>
      <c r="E23" s="70"/>
    </row>
    <row r="24" spans="1:12" ht="12.75">
      <c r="A24" s="64">
        <v>10.34</v>
      </c>
      <c r="B24" s="65"/>
      <c r="C24" s="65"/>
      <c r="D24" s="65"/>
      <c r="E24" s="70"/>
      <c r="G24" s="31" t="s">
        <v>33</v>
      </c>
      <c r="H24" s="32"/>
      <c r="I24" s="33"/>
      <c r="J24" s="21"/>
      <c r="K24" s="21"/>
      <c r="L24" s="22"/>
    </row>
    <row r="25" spans="1:12" ht="12.75">
      <c r="A25" s="68">
        <v>9.83</v>
      </c>
      <c r="B25" s="65"/>
      <c r="C25" s="65"/>
      <c r="D25" s="65"/>
      <c r="E25" s="70"/>
      <c r="G25" s="34"/>
      <c r="H25" s="35" t="s">
        <v>25</v>
      </c>
      <c r="I25" s="35" t="s">
        <v>27</v>
      </c>
      <c r="J25" s="35" t="s">
        <v>28</v>
      </c>
      <c r="K25" s="71" t="s">
        <v>29</v>
      </c>
      <c r="L25" s="72"/>
    </row>
    <row r="26" spans="1:12" ht="12.75">
      <c r="A26" s="64">
        <v>9.32</v>
      </c>
      <c r="B26" s="65"/>
      <c r="C26" s="65"/>
      <c r="D26" s="65"/>
      <c r="E26" s="70"/>
      <c r="G26" s="36" t="s">
        <v>24</v>
      </c>
      <c r="H26" s="37" t="s">
        <v>26</v>
      </c>
      <c r="I26" s="37" t="s">
        <v>34</v>
      </c>
      <c r="J26" s="37" t="s">
        <v>34</v>
      </c>
      <c r="K26" s="73" t="s">
        <v>30</v>
      </c>
      <c r="L26" s="74"/>
    </row>
    <row r="27" spans="1:12" ht="12.75">
      <c r="A27" s="64">
        <v>8.81</v>
      </c>
      <c r="B27" s="65"/>
      <c r="C27" s="65"/>
      <c r="D27" s="65"/>
      <c r="E27" s="70"/>
      <c r="G27" s="38" t="str">
        <f>CONCATENATE(G5," to ",G6)</f>
        <v>Group A to Group B</v>
      </c>
      <c r="H27" s="39">
        <f>ABS($J$5-$J$6)</f>
        <v>4.064999999999978</v>
      </c>
      <c r="I27" s="39">
        <f>$H27-TINV($H$20,$I$14)*SQRT(($J$14)*((1/$H$5)+(1/$H$6)))</f>
        <v>1.7920037841662206</v>
      </c>
      <c r="J27" s="39">
        <f>$H27+TINV($H$20,$I$14)*SQRT(($J$14)*((1/$H$5)+(1/$H$6)))</f>
        <v>6.337996215833735</v>
      </c>
      <c r="K27" s="40" t="str">
        <f>IF(I27*J27&gt;0,"***Means are different***","    - no difference -")</f>
        <v>***Means are different***</v>
      </c>
      <c r="L27" s="41"/>
    </row>
    <row r="28" spans="1:12" ht="12.75">
      <c r="A28" s="64">
        <v>8.3</v>
      </c>
      <c r="B28" s="65"/>
      <c r="C28" s="65"/>
      <c r="D28" s="65"/>
      <c r="E28" s="70"/>
      <c r="G28" s="38" t="str">
        <f>CONCATENATE(G5," to ",G7)</f>
        <v>Group A to Group C</v>
      </c>
      <c r="H28" s="39">
        <f>ABS($J$5-$J$7)</f>
        <v>10.469999999999997</v>
      </c>
      <c r="I28" s="39">
        <f>$H28-TINV($H$20,$I$14)*SQRT(($J$14)*((1/$H$5)+(1/$H$7)))</f>
        <v>7.995475148413433</v>
      </c>
      <c r="J28" s="39">
        <f>$H28+TINV($H$20,$I$14)*SQRT(($J$14)*((1/$H$5)+(1/$H$7)))</f>
        <v>12.94452485158656</v>
      </c>
      <c r="K28" s="40" t="str">
        <f aca="true" t="shared" si="0" ref="K28:K36">IF(I28*J28&gt;0,"***Means are different***","    - no difference -")</f>
        <v>***Means are different***</v>
      </c>
      <c r="L28" s="41"/>
    </row>
    <row r="29" spans="7:12" ht="12.75">
      <c r="G29" s="38" t="str">
        <f>CONCATENATE(G6," to ",G7)</f>
        <v>Group B to Group C</v>
      </c>
      <c r="H29" s="39">
        <f>ABS($J$6-$J$7)</f>
        <v>6.405000000000019</v>
      </c>
      <c r="I29" s="39">
        <f>$H29-TINV($H$20,$I$14)*SQRT(($J$14)*((1/$H$6)+(1/$H$7)))</f>
        <v>3.8170799650154645</v>
      </c>
      <c r="J29" s="39">
        <f>$H29+TINV($H$20,$I$14)*SQRT(($J$14)*((1/$H$6)+(1/$H$7)))</f>
        <v>8.992920034984573</v>
      </c>
      <c r="K29" s="40" t="str">
        <f t="shared" si="0"/>
        <v>***Means are different***</v>
      </c>
      <c r="L29" s="41"/>
    </row>
    <row r="30" spans="7:12" ht="13.5" thickBot="1">
      <c r="G30" s="38" t="str">
        <f>CONCATENATE(G5," to ",G8)</f>
        <v>Group A to Group D</v>
      </c>
      <c r="H30" s="39">
        <f>ABS($J$5-$J$8)</f>
        <v>3.6399999999999917</v>
      </c>
      <c r="I30" s="39">
        <f>$H30-TINV($H$20,$I$14)*SQRT(($J$14)*((1/$H$5)+(1/$H$8)))</f>
        <v>0.8050756396387935</v>
      </c>
      <c r="J30" s="39">
        <f>$H30+TINV($H$20,$I$14)*SQRT(($J$14)*((1/$H$5)+(1/$H$8)))</f>
        <v>6.4749243603611895</v>
      </c>
      <c r="K30" s="40" t="str">
        <f t="shared" si="0"/>
        <v>***Means are different***</v>
      </c>
      <c r="L30" s="41"/>
    </row>
    <row r="31" spans="2:12" ht="14.25" thickBot="1">
      <c r="B31" s="51" t="s">
        <v>36</v>
      </c>
      <c r="C31" s="52"/>
      <c r="D31" s="53"/>
      <c r="G31" s="38" t="str">
        <f>CONCATENATE(G6," to ",G8)</f>
        <v>Group B to Group D</v>
      </c>
      <c r="H31" s="39">
        <f>ABS($J$6-$J$8)</f>
        <v>0.4249999999999865</v>
      </c>
      <c r="I31" s="39">
        <f>$H31-TINV($H$20,$I$14)*SQRT(($J$14)*((1/$H$6)+(1/$H$8)))</f>
        <v>-2.509425496638888</v>
      </c>
      <c r="J31" s="39">
        <f>$H31+TINV($H$20,$I$14)*SQRT(($J$14)*((1/$H$6)+(1/$H$8)))</f>
        <v>3.359425496638861</v>
      </c>
      <c r="K31" s="40" t="str">
        <f t="shared" si="0"/>
        <v>    - no difference -</v>
      </c>
      <c r="L31" s="41"/>
    </row>
    <row r="32" spans="7:12" ht="12.75">
      <c r="G32" s="38" t="str">
        <f>CONCATENATE(G7," to ",G8)</f>
        <v>Group C to Group D</v>
      </c>
      <c r="H32" s="39">
        <f>ABS($J$7-$J$8)</f>
        <v>6.830000000000005</v>
      </c>
      <c r="I32" s="39">
        <f>$H32-TINV($H$20,$I$14)*SQRT(($J$14)*((1/$H$7)+(1/$H$8)))</f>
        <v>3.7368439355168004</v>
      </c>
      <c r="J32" s="39">
        <f>$H32+TINV($H$20,$I$14)*SQRT(($J$14)*((1/$H$7)+(1/$H$8)))</f>
        <v>9.92315606448321</v>
      </c>
      <c r="K32" s="40" t="str">
        <f t="shared" si="0"/>
        <v>***Means are different***</v>
      </c>
      <c r="L32" s="41"/>
    </row>
    <row r="33" spans="7:12" ht="12.75">
      <c r="G33" s="38" t="str">
        <f>CONCATENATE(G5," to ",G9)</f>
        <v>Group A to Group E</v>
      </c>
      <c r="H33" s="39">
        <f>ABS($J$5-$J$9)</f>
        <v>2.0359999999999783</v>
      </c>
      <c r="I33" s="39">
        <f>$H33-TINV($H$20,$I$14)*SQRT(($J$14)*((1/$H$5)+(1/$H$9)))</f>
        <v>-1.6757872773798672</v>
      </c>
      <c r="J33" s="39">
        <f>$H33+TINV($H$20,$I$14)*SQRT(($J$14)*((1/$H$5)+(1/$H$9)))</f>
        <v>5.747787277379824</v>
      </c>
      <c r="K33" s="40" t="str">
        <f t="shared" si="0"/>
        <v>    - no difference -</v>
      </c>
      <c r="L33" s="41"/>
    </row>
    <row r="34" spans="7:12" ht="12.75">
      <c r="G34" s="38" t="str">
        <f>CONCATENATE(G6," to ",G9)</f>
        <v>Group B to Group E</v>
      </c>
      <c r="H34" s="39">
        <f>ABS($J$6-$J$9)</f>
        <v>2.029</v>
      </c>
      <c r="I34" s="39">
        <f>$H34-TINV($H$20,$I$14)*SQRT(($J$14)*((1/$H$6)+(1/$H$9)))</f>
        <v>-1.7593270263895957</v>
      </c>
      <c r="J34" s="39">
        <f>$H34+TINV($H$20,$I$14)*SQRT(($J$14)*((1/$H$6)+(1/$H$9)))</f>
        <v>5.817327026389595</v>
      </c>
      <c r="K34" s="40" t="str">
        <f t="shared" si="0"/>
        <v>    - no difference -</v>
      </c>
      <c r="L34" s="41"/>
    </row>
    <row r="35" spans="7:12" ht="12.75">
      <c r="G35" s="38" t="str">
        <f>CONCATENATE(G7," to ",G9)</f>
        <v>Group C to Group E</v>
      </c>
      <c r="H35" s="39">
        <f>ABS($J$7-$J$9)</f>
        <v>8.434000000000019</v>
      </c>
      <c r="I35" s="39">
        <f>$H35-TINV($H$20,$I$14)*SQRT(($J$14)*((1/$H$7)+(1/$H$9)))</f>
        <v>4.521432671148187</v>
      </c>
      <c r="J35" s="39">
        <f>$H35+TINV($H$20,$I$14)*SQRT(($J$14)*((1/$H$7)+(1/$H$9)))</f>
        <v>12.346567328851851</v>
      </c>
      <c r="K35" s="40" t="str">
        <f t="shared" si="0"/>
        <v>***Means are different***</v>
      </c>
      <c r="L35" s="41"/>
    </row>
    <row r="36" spans="7:12" ht="13.5" thickBot="1">
      <c r="G36" s="42" t="str">
        <f>CONCATENATE(G8," to ",G9)</f>
        <v>Group D to Group E</v>
      </c>
      <c r="H36" s="43">
        <f>ABS($J$8-$J$9)</f>
        <v>1.6040000000000134</v>
      </c>
      <c r="I36" s="43">
        <f>$H36-TINV($H$20,$I$14)*SQRT(($J$14)*((1/$H$8)+(1/$H$9)))</f>
        <v>-2.5459043351200883</v>
      </c>
      <c r="J36" s="43">
        <f>$H36+TINV($H$20,$I$14)*SQRT(($J$14)*((1/$H$8)+(1/$H$9)))</f>
        <v>5.753904335120115</v>
      </c>
      <c r="K36" s="44" t="str">
        <f t="shared" si="0"/>
        <v>    - no difference -</v>
      </c>
      <c r="L36" s="45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84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GriffiLo</cp:lastModifiedBy>
  <cp:lastPrinted>2003-02-19T06:56:17Z</cp:lastPrinted>
  <dcterms:created xsi:type="dcterms:W3CDTF">2002-07-26T20:15:29Z</dcterms:created>
  <dcterms:modified xsi:type="dcterms:W3CDTF">2010-10-27T18:21:49Z</dcterms:modified>
  <cp:category/>
  <cp:version/>
  <cp:contentType/>
  <cp:contentStatus/>
</cp:coreProperties>
</file>