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7115" windowHeight="11505" activeTab="1"/>
  </bookViews>
  <sheets>
    <sheet name="Quality Management" sheetId="1" r:id="rId1"/>
    <sheet name="Capital Investment Decisions" sheetId="2" r:id="rId2"/>
  </sheets>
  <definedNames>
    <definedName name="New_Mach_Initial_Cost">'Capital Investment Decisions'!#REF!</definedName>
    <definedName name="New_Salvage">'Capital Investment Decisions'!#REF!</definedName>
    <definedName name="New_Salvage_Value">'Capital Investment Decisions'!#REF!</definedName>
    <definedName name="New_Useful_Life">'Capital Investment Decisions'!#REF!</definedName>
    <definedName name="Old_Age">'Capital Investment Decisions'!#REF!</definedName>
    <definedName name="Old_Annual_Dep">'Capital Investment Decisions'!#REF!</definedName>
    <definedName name="Old_Mach_Initial_Cost">'Capital Investment Decisions'!#REF!</definedName>
    <definedName name="Old_Salvage">'Capital Investment Decisions'!#REF!</definedName>
    <definedName name="Old_Term_Value">'Capital Investment Decisions'!#REF!</definedName>
    <definedName name="Old_Useful_Life">'Capital Investment Decisions'!#REF!</definedName>
  </definedNames>
  <calcPr calcId="125725"/>
</workbook>
</file>

<file path=xl/calcChain.xml><?xml version="1.0" encoding="utf-8"?>
<calcChain xmlns="http://schemas.openxmlformats.org/spreadsheetml/2006/main">
  <c r="J6" i="2"/>
  <c r="L16"/>
  <c r="J5"/>
  <c r="D44"/>
  <c r="D43"/>
  <c r="D42"/>
  <c r="E39"/>
  <c r="E40" s="1"/>
  <c r="E41" s="1"/>
  <c r="E38"/>
  <c r="D36"/>
  <c r="E23"/>
  <c r="F23"/>
  <c r="G23"/>
  <c r="H23"/>
  <c r="I23"/>
  <c r="J23"/>
  <c r="K23"/>
  <c r="D23"/>
  <c r="F11"/>
  <c r="G11" s="1"/>
  <c r="E11"/>
  <c r="E14" s="1"/>
  <c r="F14"/>
  <c r="F15"/>
  <c r="F16" s="1"/>
  <c r="D14"/>
  <c r="G10"/>
  <c r="G28" s="1"/>
  <c r="F10"/>
  <c r="F28" s="1"/>
  <c r="E10"/>
  <c r="E28" s="1"/>
  <c r="D10"/>
  <c r="D28" s="1"/>
  <c r="C10"/>
  <c r="C28" s="1"/>
  <c r="K10"/>
  <c r="J10"/>
  <c r="I10"/>
  <c r="H10"/>
  <c r="C36"/>
  <c r="G27"/>
  <c r="D40" s="1"/>
  <c r="H27"/>
  <c r="D41" s="1"/>
  <c r="I27"/>
  <c r="J27"/>
  <c r="O8" i="1"/>
  <c r="N8"/>
  <c r="M8"/>
  <c r="O5"/>
  <c r="O6"/>
  <c r="O7"/>
  <c r="O4"/>
  <c r="N5"/>
  <c r="N6"/>
  <c r="N7"/>
  <c r="N4"/>
  <c r="M5"/>
  <c r="M6"/>
  <c r="M7"/>
  <c r="M4"/>
  <c r="K10"/>
  <c r="J10"/>
  <c r="C27" i="2"/>
  <c r="D27"/>
  <c r="E27"/>
  <c r="D38" s="1"/>
  <c r="F27"/>
  <c r="D39" s="1"/>
  <c r="K27"/>
  <c r="K5" i="1"/>
  <c r="J5"/>
  <c r="I5"/>
  <c r="I4"/>
  <c r="I7"/>
  <c r="J7"/>
  <c r="K7"/>
  <c r="K6"/>
  <c r="J6"/>
  <c r="I6"/>
  <c r="K4"/>
  <c r="J4"/>
  <c r="E42" i="2" l="1"/>
  <c r="E43" s="1"/>
  <c r="E44" s="1"/>
  <c r="H11"/>
  <c r="G14"/>
  <c r="E15"/>
  <c r="E16" s="1"/>
  <c r="D15"/>
  <c r="D16" s="1"/>
  <c r="C40"/>
  <c r="C38"/>
  <c r="G29"/>
  <c r="C29"/>
  <c r="F29"/>
  <c r="E29"/>
  <c r="D29"/>
  <c r="H28"/>
  <c r="H29" s="1"/>
  <c r="J28"/>
  <c r="J29" s="1"/>
  <c r="K28"/>
  <c r="K29" s="1"/>
  <c r="I28"/>
  <c r="I29" s="1"/>
  <c r="J3"/>
  <c r="C37"/>
  <c r="C39"/>
  <c r="C41"/>
  <c r="D37"/>
  <c r="K8" i="1"/>
  <c r="I8"/>
  <c r="J8"/>
  <c r="I11" i="2" l="1"/>
  <c r="H14"/>
  <c r="G15"/>
  <c r="G16" s="1"/>
  <c r="E37"/>
  <c r="L29"/>
  <c r="J2" s="1"/>
  <c r="J11" l="1"/>
  <c r="I14"/>
  <c r="H15"/>
  <c r="H16" s="1"/>
  <c r="I15" l="1"/>
  <c r="I16" s="1"/>
  <c r="K11"/>
  <c r="K14" s="1"/>
  <c r="J14"/>
  <c r="J15" l="1"/>
  <c r="J16" s="1"/>
  <c r="K15"/>
  <c r="K16" s="1"/>
</calcChain>
</file>

<file path=xl/sharedStrings.xml><?xml version="1.0" encoding="utf-8"?>
<sst xmlns="http://schemas.openxmlformats.org/spreadsheetml/2006/main" count="72" uniqueCount="64">
  <si>
    <t>Environmental Activity</t>
  </si>
  <si>
    <t>Disposing of hazardous waste</t>
  </si>
  <si>
    <t>Designing processes and products</t>
  </si>
  <si>
    <t>P</t>
  </si>
  <si>
    <t>I</t>
  </si>
  <si>
    <t>E</t>
  </si>
  <si>
    <t>Prevention</t>
  </si>
  <si>
    <t>Internal Failure</t>
  </si>
  <si>
    <t>External Failure</t>
  </si>
  <si>
    <t>Total</t>
  </si>
  <si>
    <t>Absolute</t>
  </si>
  <si>
    <t>Appraisal</t>
  </si>
  <si>
    <t>A</t>
  </si>
  <si>
    <t>Calculations</t>
  </si>
  <si>
    <t>Tax rate</t>
  </si>
  <si>
    <t>Assumptions</t>
  </si>
  <si>
    <t>Year</t>
  </si>
  <si>
    <t>Discount Factor</t>
  </si>
  <si>
    <t>Present Value</t>
  </si>
  <si>
    <t>Required Rate of Return</t>
  </si>
  <si>
    <t>NPV</t>
  </si>
  <si>
    <t>IRR</t>
  </si>
  <si>
    <t>Payback (a/tax)</t>
  </si>
  <si>
    <t>Summary</t>
  </si>
  <si>
    <t>Cash Flows</t>
  </si>
  <si>
    <t>Net Cash Flow</t>
  </si>
  <si>
    <t>Inspection</t>
  </si>
  <si>
    <t>Rework</t>
  </si>
  <si>
    <t>Quality Training Program</t>
  </si>
  <si>
    <t>Returns</t>
  </si>
  <si>
    <t>Warranty repairs</t>
  </si>
  <si>
    <t>Scrap</t>
  </si>
  <si>
    <t>Dealing with customer complaints</t>
  </si>
  <si>
    <t>Materials Inspection</t>
  </si>
  <si>
    <t>Sales</t>
  </si>
  <si>
    <t>% of Sales</t>
  </si>
  <si>
    <t>Number of years</t>
  </si>
  <si>
    <t>na</t>
  </si>
  <si>
    <t>if cash flows are uneven this formula does not apply</t>
  </si>
  <si>
    <t>Payback</t>
  </si>
  <si>
    <t>Cash flow</t>
  </si>
  <si>
    <t>Balance Outstanding</t>
  </si>
  <si>
    <t>Look for the point at which the balance outstanding becomes positve.</t>
  </si>
  <si>
    <t>A more precise payout period can then be determined.</t>
  </si>
  <si>
    <t>Average After-tax return/ average investment</t>
  </si>
  <si>
    <r>
      <t>ARR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</si>
  <si>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ARR</t>
    </r>
    <r>
      <rPr>
        <vertAlign val="superscript"/>
        <sz val="11"/>
        <color theme="1"/>
        <rFont val="Calibri"/>
        <family val="2"/>
        <scheme val="minor"/>
      </rPr>
      <t>2</t>
    </r>
  </si>
  <si>
    <t>Although the NPV is negative - consider the unquantified environmental beneifts.</t>
  </si>
  <si>
    <t>Revenues</t>
  </si>
  <si>
    <t>Cash Expenses</t>
  </si>
  <si>
    <t>Non-cash expenses</t>
  </si>
  <si>
    <t>Profit before tax</t>
  </si>
  <si>
    <t>Profit After tax</t>
  </si>
  <si>
    <t>Tax</t>
  </si>
  <si>
    <t>Net Present Value Calculations</t>
  </si>
  <si>
    <t>Purchase price</t>
  </si>
  <si>
    <t>Working Capital</t>
  </si>
  <si>
    <t>Opportunity cost of using patent (not selling it)</t>
  </si>
  <si>
    <t>Cash flow from operations</t>
  </si>
  <si>
    <t>Salvage Value</t>
  </si>
  <si>
    <t>Including the opportunity cost is arguable but preferable</t>
  </si>
  <si>
    <t>Payout = 7 years and 4 months (3.11 rounded up)</t>
  </si>
  <si>
    <t>3.11 months is calculated as 41815/161019 x 12 months</t>
  </si>
  <si>
    <t>Average after-tax return/initial investment. I have excluded the opportunity cost in this calculation since it would not be recognise3d for accounting purposes</t>
  </si>
</sst>
</file>

<file path=xl/styles.xml><?xml version="1.0" encoding="utf-8"?>
<styleSheet xmlns="http://schemas.openxmlformats.org/spreadsheetml/2006/main">
  <numFmts count="3">
    <numFmt numFmtId="166" formatCode="0.0000"/>
    <numFmt numFmtId="168" formatCode="0.000%"/>
    <numFmt numFmtId="170" formatCode="0.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9" fontId="0" fillId="0" borderId="0" xfId="1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horizontal="center" wrapText="1"/>
    </xf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2" fillId="3" borderId="1" xfId="0" applyFont="1" applyFill="1" applyBorder="1"/>
    <xf numFmtId="0" fontId="0" fillId="3" borderId="1" xfId="0" applyFill="1" applyBorder="1"/>
    <xf numFmtId="9" fontId="0" fillId="2" borderId="7" xfId="1" applyFont="1" applyFill="1" applyBorder="1"/>
    <xf numFmtId="0" fontId="0" fillId="2" borderId="7" xfId="0" applyFill="1" applyBorder="1"/>
    <xf numFmtId="0" fontId="0" fillId="2" borderId="9" xfId="0" applyFill="1" applyBorder="1"/>
    <xf numFmtId="0" fontId="4" fillId="0" borderId="0" xfId="0" applyFont="1"/>
    <xf numFmtId="0" fontId="0" fillId="2" borderId="1" xfId="0" applyFill="1" applyBorder="1"/>
    <xf numFmtId="1" fontId="0" fillId="2" borderId="1" xfId="0" applyNumberFormat="1" applyFill="1" applyBorder="1"/>
    <xf numFmtId="1" fontId="0" fillId="0" borderId="0" xfId="0" applyNumberFormat="1"/>
    <xf numFmtId="1" fontId="2" fillId="2" borderId="0" xfId="0" applyNumberFormat="1" applyFont="1" applyFill="1"/>
    <xf numFmtId="166" fontId="0" fillId="0" borderId="0" xfId="0" applyNumberFormat="1"/>
    <xf numFmtId="168" fontId="0" fillId="3" borderId="1" xfId="0" applyNumberFormat="1" applyFill="1" applyBorder="1"/>
    <xf numFmtId="2" fontId="0" fillId="3" borderId="1" xfId="0" applyNumberFormat="1" applyFill="1" applyBorder="1"/>
    <xf numFmtId="170" fontId="0" fillId="2" borderId="1" xfId="0" applyNumberFormat="1" applyFill="1" applyBorder="1"/>
    <xf numFmtId="166" fontId="0" fillId="2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'Quality Management'!$H$4:$H$7</c:f>
              <c:strCache>
                <c:ptCount val="4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</c:strCache>
            </c:strRef>
          </c:cat>
          <c:val>
            <c:numRef>
              <c:f>'Quality Management'!$I$4:$I$7</c:f>
              <c:numCache>
                <c:formatCode>General</c:formatCode>
                <c:ptCount val="4"/>
                <c:pt idx="0">
                  <c:v>240000</c:v>
                </c:pt>
                <c:pt idx="1">
                  <c:v>840000</c:v>
                </c:pt>
                <c:pt idx="2">
                  <c:v>1740000</c:v>
                </c:pt>
                <c:pt idx="3">
                  <c:v>4320000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'Quality Management'!$H$4:$H$7</c:f>
              <c:strCache>
                <c:ptCount val="4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</c:strCache>
            </c:strRef>
          </c:cat>
          <c:val>
            <c:numRef>
              <c:f>'Quality Management'!$J$4:$J$7</c:f>
              <c:numCache>
                <c:formatCode>General</c:formatCode>
                <c:ptCount val="4"/>
                <c:pt idx="0">
                  <c:v>1280000</c:v>
                </c:pt>
                <c:pt idx="1">
                  <c:v>1400000</c:v>
                </c:pt>
                <c:pt idx="2">
                  <c:v>1440000</c:v>
                </c:pt>
                <c:pt idx="3">
                  <c:v>3448000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'Quality Management'!$H$4:$H$7</c:f>
              <c:strCache>
                <c:ptCount val="4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</c:strCache>
            </c:strRef>
          </c:cat>
          <c:val>
            <c:numRef>
              <c:f>'Quality Management'!$J$4:$J$7</c:f>
              <c:numCache>
                <c:formatCode>General</c:formatCode>
                <c:ptCount val="4"/>
                <c:pt idx="0">
                  <c:v>1280000</c:v>
                </c:pt>
                <c:pt idx="1">
                  <c:v>1400000</c:v>
                </c:pt>
                <c:pt idx="2">
                  <c:v>1440000</c:v>
                </c:pt>
                <c:pt idx="3">
                  <c:v>3448000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'Quality Management'!$H$4:$H$7</c:f>
              <c:strCache>
                <c:ptCount val="4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</c:strCache>
            </c:strRef>
          </c:cat>
          <c:val>
            <c:numRef>
              <c:f>'Quality Management'!$N$4:$N$7</c:f>
              <c:numCache>
                <c:formatCode>0%</c:formatCode>
                <c:ptCount val="4"/>
                <c:pt idx="0">
                  <c:v>7.7575757575757562E-2</c:v>
                </c:pt>
                <c:pt idx="1">
                  <c:v>8.484848484848484E-2</c:v>
                </c:pt>
                <c:pt idx="2">
                  <c:v>8.7272727272727266E-2</c:v>
                </c:pt>
                <c:pt idx="3">
                  <c:v>0.20896969696969694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'Quality Management'!$H$4:$H$7</c:f>
              <c:strCache>
                <c:ptCount val="4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</c:strCache>
            </c:strRef>
          </c:cat>
          <c:val>
            <c:numRef>
              <c:f>'Quality Management'!$J$4:$J$7</c:f>
              <c:numCache>
                <c:formatCode>General</c:formatCode>
                <c:ptCount val="4"/>
                <c:pt idx="0">
                  <c:v>1280000</c:v>
                </c:pt>
                <c:pt idx="1">
                  <c:v>1400000</c:v>
                </c:pt>
                <c:pt idx="2">
                  <c:v>1440000</c:v>
                </c:pt>
                <c:pt idx="3">
                  <c:v>3448000</c:v>
                </c:pt>
              </c:numCache>
            </c:numRef>
          </c:val>
        </c:ser>
        <c:ser>
          <c:idx val="2"/>
          <c:order val="2"/>
          <c:explosion val="25"/>
          <c:cat>
            <c:strRef>
              <c:f>'Quality Management'!$H$4:$H$7</c:f>
              <c:strCache>
                <c:ptCount val="4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</c:strCache>
            </c:strRef>
          </c:cat>
          <c:val>
            <c:numRef>
              <c:f>'Quality Management'!$K$4:$K$7</c:f>
              <c:numCache>
                <c:formatCode>General</c:formatCode>
                <c:ptCount val="4"/>
                <c:pt idx="0">
                  <c:v>560000</c:v>
                </c:pt>
                <c:pt idx="1">
                  <c:v>800000</c:v>
                </c:pt>
                <c:pt idx="2">
                  <c:v>1020000</c:v>
                </c:pt>
                <c:pt idx="3">
                  <c:v>2336000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259056225566769"/>
          <c:y val="9.9789765085334506E-2"/>
          <c:w val="0.27622683528195363"/>
          <c:h val="0.88886414060120889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lineChart>
        <c:grouping val="stacked"/>
        <c:ser>
          <c:idx val="0"/>
          <c:order val="0"/>
          <c:tx>
            <c:strRef>
              <c:f>'Quality Management'!$H$4</c:f>
              <c:strCache>
                <c:ptCount val="1"/>
                <c:pt idx="0">
                  <c:v>Prevention</c:v>
                </c:pt>
              </c:strCache>
            </c:strRef>
          </c:tx>
          <c:marker>
            <c:symbol val="none"/>
          </c:marker>
          <c:cat>
            <c:numRef>
              <c:f>'Quality Management'!$I$3:$K$3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'Quality Management'!$I$4:$K$4</c:f>
              <c:numCache>
                <c:formatCode>General</c:formatCode>
                <c:ptCount val="3"/>
                <c:pt idx="0">
                  <c:v>240000</c:v>
                </c:pt>
                <c:pt idx="1">
                  <c:v>1280000</c:v>
                </c:pt>
                <c:pt idx="2">
                  <c:v>560000</c:v>
                </c:pt>
              </c:numCache>
            </c:numRef>
          </c:val>
        </c:ser>
        <c:ser>
          <c:idx val="1"/>
          <c:order val="1"/>
          <c:tx>
            <c:strRef>
              <c:f>'Quality Management'!$H$5</c:f>
              <c:strCache>
                <c:ptCount val="1"/>
                <c:pt idx="0">
                  <c:v>Appraisal</c:v>
                </c:pt>
              </c:strCache>
            </c:strRef>
          </c:tx>
          <c:marker>
            <c:symbol val="none"/>
          </c:marker>
          <c:cat>
            <c:numRef>
              <c:f>'Quality Management'!$I$3:$K$3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'Quality Management'!$I$5:$K$5</c:f>
              <c:numCache>
                <c:formatCode>General</c:formatCode>
                <c:ptCount val="3"/>
                <c:pt idx="0">
                  <c:v>840000</c:v>
                </c:pt>
                <c:pt idx="1">
                  <c:v>1400000</c:v>
                </c:pt>
                <c:pt idx="2">
                  <c:v>800000</c:v>
                </c:pt>
              </c:numCache>
            </c:numRef>
          </c:val>
        </c:ser>
        <c:ser>
          <c:idx val="2"/>
          <c:order val="2"/>
          <c:tx>
            <c:strRef>
              <c:f>'Quality Management'!$H$6</c:f>
              <c:strCache>
                <c:ptCount val="1"/>
                <c:pt idx="0">
                  <c:v>Internal Failure</c:v>
                </c:pt>
              </c:strCache>
            </c:strRef>
          </c:tx>
          <c:marker>
            <c:symbol val="none"/>
          </c:marker>
          <c:cat>
            <c:numRef>
              <c:f>'Quality Management'!$I$3:$K$3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'Quality Management'!$I$6:$K$6</c:f>
              <c:numCache>
                <c:formatCode>General</c:formatCode>
                <c:ptCount val="3"/>
                <c:pt idx="0">
                  <c:v>1740000</c:v>
                </c:pt>
                <c:pt idx="1">
                  <c:v>1440000</c:v>
                </c:pt>
                <c:pt idx="2">
                  <c:v>1020000</c:v>
                </c:pt>
              </c:numCache>
            </c:numRef>
          </c:val>
        </c:ser>
        <c:ser>
          <c:idx val="3"/>
          <c:order val="3"/>
          <c:tx>
            <c:strRef>
              <c:f>'Quality Management'!$H$7</c:f>
              <c:strCache>
                <c:ptCount val="1"/>
                <c:pt idx="0">
                  <c:v>External Failure</c:v>
                </c:pt>
              </c:strCache>
            </c:strRef>
          </c:tx>
          <c:marker>
            <c:symbol val="none"/>
          </c:marker>
          <c:cat>
            <c:numRef>
              <c:f>'Quality Management'!$I$3:$K$3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'Quality Management'!$I$7:$K$7</c:f>
              <c:numCache>
                <c:formatCode>General</c:formatCode>
                <c:ptCount val="3"/>
                <c:pt idx="0">
                  <c:v>4320000</c:v>
                </c:pt>
                <c:pt idx="1">
                  <c:v>3448000</c:v>
                </c:pt>
                <c:pt idx="2">
                  <c:v>2336000</c:v>
                </c:pt>
              </c:numCache>
            </c:numRef>
          </c:val>
        </c:ser>
        <c:ser>
          <c:idx val="4"/>
          <c:order val="4"/>
          <c:tx>
            <c:strRef>
              <c:f>'Quality Management'!$H$8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'Quality Management'!$I$3:$K$3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'Quality Management'!$I$8:$K$8</c:f>
              <c:numCache>
                <c:formatCode>General</c:formatCode>
                <c:ptCount val="3"/>
                <c:pt idx="0">
                  <c:v>7140000</c:v>
                </c:pt>
                <c:pt idx="1">
                  <c:v>7568000</c:v>
                </c:pt>
                <c:pt idx="2">
                  <c:v>4716000</c:v>
                </c:pt>
              </c:numCache>
            </c:numRef>
          </c:val>
        </c:ser>
        <c:marker val="1"/>
        <c:axId val="105897344"/>
        <c:axId val="105903232"/>
      </c:lineChart>
      <c:catAx>
        <c:axId val="105897344"/>
        <c:scaling>
          <c:orientation val="minMax"/>
        </c:scaling>
        <c:axPos val="b"/>
        <c:numFmt formatCode="General" sourceLinked="1"/>
        <c:tickLblPos val="nextTo"/>
        <c:crossAx val="105903232"/>
        <c:crosses val="autoZero"/>
        <c:auto val="1"/>
        <c:lblAlgn val="ctr"/>
        <c:lblOffset val="100"/>
      </c:catAx>
      <c:valAx>
        <c:axId val="105903232"/>
        <c:scaling>
          <c:orientation val="minMax"/>
        </c:scaling>
        <c:axPos val="l"/>
        <c:majorGridlines/>
        <c:numFmt formatCode="General" sourceLinked="1"/>
        <c:tickLblPos val="nextTo"/>
        <c:crossAx val="105897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lineChart>
        <c:grouping val="stacked"/>
        <c:ser>
          <c:idx val="0"/>
          <c:order val="0"/>
          <c:tx>
            <c:strRef>
              <c:f>'Quality Management'!$I$3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'Quality Management'!$H$4:$H$8</c:f>
              <c:strCache>
                <c:ptCount val="5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  <c:pt idx="4">
                  <c:v>Total</c:v>
                </c:pt>
              </c:strCache>
            </c:strRef>
          </c:cat>
          <c:val>
            <c:numRef>
              <c:f>'Quality Management'!$I$4:$I$8</c:f>
              <c:numCache>
                <c:formatCode>General</c:formatCode>
                <c:ptCount val="5"/>
                <c:pt idx="0">
                  <c:v>240000</c:v>
                </c:pt>
                <c:pt idx="1">
                  <c:v>840000</c:v>
                </c:pt>
                <c:pt idx="2">
                  <c:v>1740000</c:v>
                </c:pt>
                <c:pt idx="3">
                  <c:v>4320000</c:v>
                </c:pt>
                <c:pt idx="4">
                  <c:v>7140000</c:v>
                </c:pt>
              </c:numCache>
            </c:numRef>
          </c:val>
        </c:ser>
        <c:ser>
          <c:idx val="1"/>
          <c:order val="1"/>
          <c:tx>
            <c:strRef>
              <c:f>'Quality Management'!$J$3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'Quality Management'!$H$4:$H$8</c:f>
              <c:strCache>
                <c:ptCount val="5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  <c:pt idx="4">
                  <c:v>Total</c:v>
                </c:pt>
              </c:strCache>
            </c:strRef>
          </c:cat>
          <c:val>
            <c:numRef>
              <c:f>'Quality Management'!$J$4:$J$8</c:f>
              <c:numCache>
                <c:formatCode>General</c:formatCode>
                <c:ptCount val="5"/>
                <c:pt idx="0">
                  <c:v>1280000</c:v>
                </c:pt>
                <c:pt idx="1">
                  <c:v>1400000</c:v>
                </c:pt>
                <c:pt idx="2">
                  <c:v>1440000</c:v>
                </c:pt>
                <c:pt idx="3">
                  <c:v>3448000</c:v>
                </c:pt>
                <c:pt idx="4">
                  <c:v>7568000</c:v>
                </c:pt>
              </c:numCache>
            </c:numRef>
          </c:val>
        </c:ser>
        <c:ser>
          <c:idx val="2"/>
          <c:order val="2"/>
          <c:tx>
            <c:strRef>
              <c:f>'Quality Management'!$K$3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'Quality Management'!$H$4:$H$8</c:f>
              <c:strCache>
                <c:ptCount val="5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  <c:pt idx="4">
                  <c:v>Total</c:v>
                </c:pt>
              </c:strCache>
            </c:strRef>
          </c:cat>
          <c:val>
            <c:numRef>
              <c:f>'Quality Management'!$K$4:$K$8</c:f>
              <c:numCache>
                <c:formatCode>General</c:formatCode>
                <c:ptCount val="5"/>
                <c:pt idx="0">
                  <c:v>560000</c:v>
                </c:pt>
                <c:pt idx="1">
                  <c:v>800000</c:v>
                </c:pt>
                <c:pt idx="2">
                  <c:v>1020000</c:v>
                </c:pt>
                <c:pt idx="3">
                  <c:v>2336000</c:v>
                </c:pt>
                <c:pt idx="4">
                  <c:v>4716000</c:v>
                </c:pt>
              </c:numCache>
            </c:numRef>
          </c:val>
        </c:ser>
        <c:marker val="1"/>
        <c:axId val="106456960"/>
        <c:axId val="106458496"/>
      </c:lineChart>
      <c:catAx>
        <c:axId val="106456960"/>
        <c:scaling>
          <c:orientation val="minMax"/>
        </c:scaling>
        <c:axPos val="b"/>
        <c:numFmt formatCode="General" sourceLinked="1"/>
        <c:tickLblPos val="nextTo"/>
        <c:crossAx val="106458496"/>
        <c:crosses val="autoZero"/>
        <c:auto val="1"/>
        <c:lblAlgn val="ctr"/>
        <c:lblOffset val="100"/>
      </c:catAx>
      <c:valAx>
        <c:axId val="106458496"/>
        <c:scaling>
          <c:orientation val="minMax"/>
        </c:scaling>
        <c:axPos val="l"/>
        <c:majorGridlines/>
        <c:numFmt formatCode="General" sourceLinked="1"/>
        <c:tickLblPos val="nextTo"/>
        <c:crossAx val="10645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'Quality Management'!$H$4:$H$7</c:f>
              <c:strCache>
                <c:ptCount val="4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</c:strCache>
            </c:strRef>
          </c:cat>
          <c:val>
            <c:numRef>
              <c:f>'Quality Management'!$M$4:$M$7</c:f>
              <c:numCache>
                <c:formatCode>0%</c:formatCode>
                <c:ptCount val="4"/>
                <c:pt idx="0">
                  <c:v>1.6E-2</c:v>
                </c:pt>
                <c:pt idx="1">
                  <c:v>5.6000000000000001E-2</c:v>
                </c:pt>
                <c:pt idx="2">
                  <c:v>0.11600000000000001</c:v>
                </c:pt>
                <c:pt idx="3">
                  <c:v>0.28799999999999998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'Quality Management'!$H$4:$H$7</c:f>
              <c:strCache>
                <c:ptCount val="4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</c:strCache>
            </c:strRef>
          </c:cat>
          <c:val>
            <c:numRef>
              <c:f>'Quality Management'!$K$4:$K$7</c:f>
              <c:numCache>
                <c:formatCode>General</c:formatCode>
                <c:ptCount val="4"/>
                <c:pt idx="0">
                  <c:v>560000</c:v>
                </c:pt>
                <c:pt idx="1">
                  <c:v>800000</c:v>
                </c:pt>
                <c:pt idx="2">
                  <c:v>1020000</c:v>
                </c:pt>
                <c:pt idx="3">
                  <c:v>2336000</c:v>
                </c:pt>
              </c:numCache>
            </c:numRef>
          </c:val>
        </c:ser>
        <c:ser>
          <c:idx val="1"/>
          <c:order val="1"/>
          <c:explosion val="25"/>
          <c:cat>
            <c:numRef>
              <c:f>'Quality Management'!$L$4:$L$7</c:f>
              <c:numCache>
                <c:formatCode>General</c:formatCode>
                <c:ptCount val="4"/>
              </c:numCache>
            </c:numRef>
          </c:cat>
          <c:val>
            <c:numRef>
              <c:f>'Quality Management'!$N$4:$N$7</c:f>
              <c:numCache>
                <c:formatCode>0%</c:formatCode>
                <c:ptCount val="4"/>
                <c:pt idx="0">
                  <c:v>7.7575757575757562E-2</c:v>
                </c:pt>
                <c:pt idx="1">
                  <c:v>8.484848484848484E-2</c:v>
                </c:pt>
                <c:pt idx="2">
                  <c:v>8.7272727272727266E-2</c:v>
                </c:pt>
                <c:pt idx="3">
                  <c:v>0.20896969696969694</c:v>
                </c:pt>
              </c:numCache>
            </c:numRef>
          </c:val>
        </c:ser>
        <c:ser>
          <c:idx val="2"/>
          <c:order val="2"/>
          <c:explosion val="25"/>
          <c:cat>
            <c:numRef>
              <c:f>'Quality Management'!$L$4:$L$7</c:f>
              <c:numCache>
                <c:formatCode>General</c:formatCode>
                <c:ptCount val="4"/>
              </c:numCache>
            </c:numRef>
          </c:cat>
          <c:val>
            <c:numRef>
              <c:f>'Quality Management'!$O$4:$O$7</c:f>
              <c:numCache>
                <c:formatCode>0%</c:formatCode>
                <c:ptCount val="4"/>
                <c:pt idx="0">
                  <c:v>3.0853994490358121E-2</c:v>
                </c:pt>
                <c:pt idx="1">
                  <c:v>4.407713498622589E-2</c:v>
                </c:pt>
                <c:pt idx="2">
                  <c:v>5.6198347107438006E-2</c:v>
                </c:pt>
                <c:pt idx="3">
                  <c:v>0.12870523415977958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'Quality Management'!$H$4:$H$7</c:f>
              <c:strCache>
                <c:ptCount val="4"/>
                <c:pt idx="0">
                  <c:v>Prevention</c:v>
                </c:pt>
                <c:pt idx="1">
                  <c:v>Appraisal</c:v>
                </c:pt>
                <c:pt idx="2">
                  <c:v>Internal Failure</c:v>
                </c:pt>
                <c:pt idx="3">
                  <c:v>External Failure</c:v>
                </c:pt>
              </c:strCache>
            </c:strRef>
          </c:cat>
          <c:val>
            <c:numRef>
              <c:f>'Quality Management'!$O$4:$O$7</c:f>
              <c:numCache>
                <c:formatCode>0%</c:formatCode>
                <c:ptCount val="4"/>
                <c:pt idx="0">
                  <c:v>3.0853994490358121E-2</c:v>
                </c:pt>
                <c:pt idx="1">
                  <c:v>4.407713498622589E-2</c:v>
                </c:pt>
                <c:pt idx="2">
                  <c:v>5.6198347107438006E-2</c:v>
                </c:pt>
                <c:pt idx="3">
                  <c:v>0.12870523415977958</c:v>
                </c:pt>
              </c:numCache>
            </c:numRef>
          </c:val>
        </c:ser>
        <c:ser>
          <c:idx val="1"/>
          <c:order val="1"/>
          <c:explosion val="25"/>
          <c:cat>
            <c:numRef>
              <c:f>'Quality Management'!$L$4:$L$7</c:f>
              <c:numCache>
                <c:formatCode>General</c:formatCode>
                <c:ptCount val="4"/>
              </c:numCache>
            </c:numRef>
          </c:cat>
          <c:val>
            <c:numRef>
              <c:f>'Quality Management'!$N$4:$N$7</c:f>
              <c:numCache>
                <c:formatCode>0%</c:formatCode>
                <c:ptCount val="4"/>
                <c:pt idx="0">
                  <c:v>7.7575757575757562E-2</c:v>
                </c:pt>
                <c:pt idx="1">
                  <c:v>8.484848484848484E-2</c:v>
                </c:pt>
                <c:pt idx="2">
                  <c:v>8.7272727272727266E-2</c:v>
                </c:pt>
                <c:pt idx="3">
                  <c:v>0.20896969696969694</c:v>
                </c:pt>
              </c:numCache>
            </c:numRef>
          </c:val>
        </c:ser>
        <c:ser>
          <c:idx val="2"/>
          <c:order val="2"/>
          <c:explosion val="25"/>
          <c:cat>
            <c:numRef>
              <c:f>'Quality Management'!$L$4:$L$7</c:f>
              <c:numCache>
                <c:formatCode>General</c:formatCode>
                <c:ptCount val="4"/>
              </c:numCache>
            </c:numRef>
          </c:cat>
          <c:val>
            <c:numRef>
              <c:f>'Quality Management'!$O$4:$O$7</c:f>
              <c:numCache>
                <c:formatCode>0%</c:formatCode>
                <c:ptCount val="4"/>
                <c:pt idx="0">
                  <c:v>3.0853994490358121E-2</c:v>
                </c:pt>
                <c:pt idx="1">
                  <c:v>4.407713498622589E-2</c:v>
                </c:pt>
                <c:pt idx="2">
                  <c:v>5.6198347107438006E-2</c:v>
                </c:pt>
                <c:pt idx="3">
                  <c:v>0.12870523415977958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28574</xdr:rowOff>
    </xdr:from>
    <xdr:to>
      <xdr:col>2</xdr:col>
      <xdr:colOff>533400</xdr:colOff>
      <xdr:row>22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22</xdr:row>
      <xdr:rowOff>66676</xdr:rowOff>
    </xdr:from>
    <xdr:to>
      <xdr:col>2</xdr:col>
      <xdr:colOff>533399</xdr:colOff>
      <xdr:row>31</xdr:row>
      <xdr:rowOff>66676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22</xdr:row>
      <xdr:rowOff>85725</xdr:rowOff>
    </xdr:from>
    <xdr:to>
      <xdr:col>7</xdr:col>
      <xdr:colOff>742950</xdr:colOff>
      <xdr:row>31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885824</xdr:colOff>
      <xdr:row>13</xdr:row>
      <xdr:rowOff>9525</xdr:rowOff>
    </xdr:from>
    <xdr:to>
      <xdr:col>15</xdr:col>
      <xdr:colOff>342899</xdr:colOff>
      <xdr:row>26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904875</xdr:colOff>
      <xdr:row>27</xdr:row>
      <xdr:rowOff>133350</xdr:rowOff>
    </xdr:from>
    <xdr:to>
      <xdr:col>15</xdr:col>
      <xdr:colOff>314325</xdr:colOff>
      <xdr:row>39</xdr:row>
      <xdr:rowOff>180975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47626</xdr:colOff>
      <xdr:row>13</xdr:row>
      <xdr:rowOff>19050</xdr:rowOff>
    </xdr:from>
    <xdr:to>
      <xdr:col>7</xdr:col>
      <xdr:colOff>733425</xdr:colOff>
      <xdr:row>22</xdr:row>
      <xdr:rowOff>38100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31</xdr:row>
      <xdr:rowOff>76201</xdr:rowOff>
    </xdr:from>
    <xdr:to>
      <xdr:col>2</xdr:col>
      <xdr:colOff>533400</xdr:colOff>
      <xdr:row>41</xdr:row>
      <xdr:rowOff>76201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38101</xdr:colOff>
      <xdr:row>31</xdr:row>
      <xdr:rowOff>133350</xdr:rowOff>
    </xdr:from>
    <xdr:to>
      <xdr:col>7</xdr:col>
      <xdr:colOff>752475</xdr:colOff>
      <xdr:row>41</xdr:row>
      <xdr:rowOff>114300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19</xdr:row>
      <xdr:rowOff>9525</xdr:rowOff>
    </xdr:from>
    <xdr:ext cx="1219199" cy="1390650"/>
    <xdr:sp macro="" textlink="">
      <xdr:nvSpPr>
        <xdr:cNvPr id="2" name="TextBox 1"/>
        <xdr:cNvSpPr txBox="1"/>
      </xdr:nvSpPr>
      <xdr:spPr>
        <a:xfrm>
          <a:off x="47626" y="2714625"/>
          <a:ext cx="1219199" cy="139065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AU" sz="1100"/>
            <a:t>Use</a:t>
          </a:r>
          <a:r>
            <a:rPr lang="en-AU" sz="1100" baseline="0"/>
            <a:t> a new row for each cash flow, insert it in the correct period and  be sure that cash outflows are negative</a:t>
          </a:r>
          <a:endParaRPr lang="en-A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activeCell="O9" sqref="O9"/>
    </sheetView>
  </sheetViews>
  <sheetFormatPr defaultRowHeight="15"/>
  <cols>
    <col min="2" max="2" width="34.140625" customWidth="1"/>
    <col min="6" max="6" width="4.5703125" customWidth="1"/>
    <col min="8" max="8" width="15" customWidth="1"/>
    <col min="11" max="11" width="8.7109375" customWidth="1"/>
    <col min="12" max="12" width="8.5703125" customWidth="1"/>
  </cols>
  <sheetData>
    <row r="1" spans="1:24">
      <c r="B1" s="1" t="s">
        <v>0</v>
      </c>
      <c r="C1" s="1">
        <v>2007</v>
      </c>
      <c r="D1" s="1">
        <v>2008</v>
      </c>
      <c r="E1" s="1">
        <v>2009</v>
      </c>
      <c r="F1" s="1"/>
      <c r="G1" s="1"/>
      <c r="P1" s="1"/>
      <c r="T1" s="1"/>
    </row>
    <row r="2" spans="1:24">
      <c r="A2" s="6" t="s">
        <v>12</v>
      </c>
      <c r="B2" t="s">
        <v>1</v>
      </c>
      <c r="C2">
        <v>800000</v>
      </c>
      <c r="D2">
        <v>600000</v>
      </c>
      <c r="E2">
        <v>200000</v>
      </c>
      <c r="Q2" s="1"/>
      <c r="V2" s="1"/>
    </row>
    <row r="3" spans="1:24">
      <c r="A3" s="6" t="s">
        <v>12</v>
      </c>
      <c r="B3" t="s">
        <v>33</v>
      </c>
      <c r="C3">
        <v>40000</v>
      </c>
      <c r="D3">
        <v>400000</v>
      </c>
      <c r="E3">
        <v>280000</v>
      </c>
      <c r="I3" s="1">
        <v>2007</v>
      </c>
      <c r="J3" s="1">
        <v>2008</v>
      </c>
      <c r="K3" s="1">
        <v>2009</v>
      </c>
      <c r="L3" s="1"/>
      <c r="M3" s="1">
        <v>2007</v>
      </c>
      <c r="N3" s="1">
        <v>2008</v>
      </c>
      <c r="O3" s="1">
        <v>2009</v>
      </c>
      <c r="P3" s="2"/>
      <c r="Q3" s="2"/>
      <c r="R3" s="2"/>
      <c r="S3" s="2"/>
      <c r="U3" s="2"/>
      <c r="V3" s="2"/>
      <c r="W3" s="2"/>
      <c r="X3" s="2"/>
    </row>
    <row r="4" spans="1:24">
      <c r="A4" s="6" t="s">
        <v>5</v>
      </c>
      <c r="B4" t="s">
        <v>32</v>
      </c>
      <c r="C4">
        <v>2000000</v>
      </c>
      <c r="D4">
        <v>1600000</v>
      </c>
      <c r="E4">
        <v>1000000</v>
      </c>
      <c r="H4" t="s">
        <v>6</v>
      </c>
      <c r="I4">
        <f>SUMIF(A2:A11,"=P",C2:C11)</f>
        <v>240000</v>
      </c>
      <c r="J4">
        <f>SUMIF(A2:A11,"=P",D2:D11)</f>
        <v>1280000</v>
      </c>
      <c r="K4">
        <f>SUMIF(A2:A11,"=P",E2:E11)</f>
        <v>560000</v>
      </c>
      <c r="M4" s="5">
        <f>I4/I$10</f>
        <v>1.6E-2</v>
      </c>
      <c r="N4" s="5">
        <f>J4/J$10</f>
        <v>7.7575757575757562E-2</v>
      </c>
      <c r="O4" s="5">
        <f>K4/K$10</f>
        <v>3.0853994490358121E-2</v>
      </c>
    </row>
    <row r="5" spans="1:24">
      <c r="A5" s="6" t="s">
        <v>4</v>
      </c>
      <c r="B5" t="s">
        <v>31</v>
      </c>
      <c r="C5">
        <v>700000</v>
      </c>
      <c r="D5">
        <v>600000</v>
      </c>
      <c r="E5">
        <v>500000</v>
      </c>
      <c r="H5" t="s">
        <v>11</v>
      </c>
      <c r="I5">
        <f>SUMIF(A2:A11,"=A",C2:C11)</f>
        <v>840000</v>
      </c>
      <c r="J5">
        <f>SUMIF(A2:A11,"=A",D2:D11)</f>
        <v>1400000</v>
      </c>
      <c r="K5">
        <f>SUMIF(A2:A11,"=A",E2:E11)</f>
        <v>800000</v>
      </c>
      <c r="M5" s="5">
        <f t="shared" ref="M5:M7" si="0">I5/I$10</f>
        <v>5.6000000000000001E-2</v>
      </c>
      <c r="N5" s="5">
        <f t="shared" ref="N5:N7" si="1">J5/J$10</f>
        <v>8.484848484848484E-2</v>
      </c>
      <c r="O5" s="5">
        <f t="shared" ref="O5:O7" si="2">K5/K$10</f>
        <v>4.407713498622589E-2</v>
      </c>
    </row>
    <row r="6" spans="1:24">
      <c r="A6" s="6" t="s">
        <v>4</v>
      </c>
      <c r="B6" t="s">
        <v>27</v>
      </c>
      <c r="C6">
        <v>1040000</v>
      </c>
      <c r="D6">
        <v>840000</v>
      </c>
      <c r="E6">
        <v>520000</v>
      </c>
      <c r="H6" t="s">
        <v>7</v>
      </c>
      <c r="I6">
        <f>SUMIF(A2:A11,"=I",C2:C11)</f>
        <v>1740000</v>
      </c>
      <c r="J6">
        <f>SUMIF(A2:A11,"=I",D2:D11)</f>
        <v>1440000</v>
      </c>
      <c r="K6">
        <f>SUMIF(A2:A11,"=I",E2:E11)</f>
        <v>1020000</v>
      </c>
      <c r="M6" s="5">
        <f t="shared" si="0"/>
        <v>0.11600000000000001</v>
      </c>
      <c r="N6" s="5">
        <f t="shared" si="1"/>
        <v>8.7272727272727266E-2</v>
      </c>
      <c r="O6" s="5">
        <f t="shared" si="2"/>
        <v>5.6198347107438006E-2</v>
      </c>
    </row>
    <row r="7" spans="1:24">
      <c r="A7" s="6" t="s">
        <v>3</v>
      </c>
      <c r="B7" t="s">
        <v>2</v>
      </c>
      <c r="C7">
        <v>200000</v>
      </c>
      <c r="D7">
        <v>1200000</v>
      </c>
      <c r="E7">
        <v>400000</v>
      </c>
      <c r="H7" t="s">
        <v>8</v>
      </c>
      <c r="I7" s="3">
        <f>SUMIF(A2:A11,"=E",C2:C11)</f>
        <v>4320000</v>
      </c>
      <c r="J7" s="3">
        <f>SUMIF(A2:A11,"=E",D2:D11)</f>
        <v>3448000</v>
      </c>
      <c r="K7" s="3">
        <f>SUMIF(A2:A11,"=E",E2:E11)</f>
        <v>2336000</v>
      </c>
      <c r="M7" s="5">
        <f t="shared" si="0"/>
        <v>0.28799999999999998</v>
      </c>
      <c r="N7" s="5">
        <f t="shared" si="1"/>
        <v>0.20896969696969694</v>
      </c>
      <c r="O7" s="5">
        <f t="shared" si="2"/>
        <v>0.12870523415977958</v>
      </c>
    </row>
    <row r="8" spans="1:24">
      <c r="A8" s="6" t="s">
        <v>5</v>
      </c>
      <c r="B8" t="s">
        <v>29</v>
      </c>
      <c r="C8">
        <v>720000</v>
      </c>
      <c r="D8">
        <v>648000</v>
      </c>
      <c r="E8">
        <v>576000</v>
      </c>
      <c r="H8" t="s">
        <v>9</v>
      </c>
      <c r="I8">
        <f>SUM(I4:I7)</f>
        <v>7140000</v>
      </c>
      <c r="J8">
        <f t="shared" ref="J8:K8" si="3">SUM(J4:J7)</f>
        <v>7568000</v>
      </c>
      <c r="K8">
        <f t="shared" si="3"/>
        <v>4716000</v>
      </c>
      <c r="M8" s="5">
        <f>I8/I$10</f>
        <v>0.47599999999999998</v>
      </c>
      <c r="N8" s="5">
        <f>J8/J$10</f>
        <v>0.45866666666666661</v>
      </c>
      <c r="O8" s="5">
        <f>K8/K$10</f>
        <v>0.2598347107438016</v>
      </c>
    </row>
    <row r="9" spans="1:24">
      <c r="A9" s="6" t="s">
        <v>3</v>
      </c>
      <c r="B9" t="s">
        <v>28</v>
      </c>
      <c r="C9">
        <v>40000</v>
      </c>
      <c r="D9">
        <v>80000</v>
      </c>
      <c r="E9">
        <v>160000</v>
      </c>
    </row>
    <row r="10" spans="1:24">
      <c r="A10" s="6" t="s">
        <v>5</v>
      </c>
      <c r="B10" t="s">
        <v>30</v>
      </c>
      <c r="C10">
        <v>1600000</v>
      </c>
      <c r="D10">
        <v>1200000</v>
      </c>
      <c r="E10">
        <v>760000</v>
      </c>
      <c r="H10" t="s">
        <v>34</v>
      </c>
      <c r="I10">
        <v>15000000</v>
      </c>
      <c r="J10">
        <f>I10*1.1</f>
        <v>16500000.000000002</v>
      </c>
      <c r="K10">
        <f>J10*1.1</f>
        <v>18150000.000000004</v>
      </c>
    </row>
    <row r="11" spans="1:24">
      <c r="A11" s="6" t="s">
        <v>12</v>
      </c>
      <c r="B11" t="s">
        <v>26</v>
      </c>
      <c r="C11">
        <v>0</v>
      </c>
      <c r="D11">
        <v>400000</v>
      </c>
      <c r="E11">
        <v>320000</v>
      </c>
    </row>
    <row r="13" spans="1:24">
      <c r="B13" s="4" t="s">
        <v>10</v>
      </c>
      <c r="F13" s="4" t="s">
        <v>35</v>
      </c>
    </row>
    <row r="16" spans="1:24">
      <c r="A16" s="4">
        <v>2007</v>
      </c>
    </row>
    <row r="21" spans="1:12">
      <c r="E21" s="1">
        <v>2008</v>
      </c>
      <c r="F21" s="1"/>
      <c r="G21" s="1"/>
      <c r="H21" s="1"/>
      <c r="I21" s="1"/>
      <c r="L21" s="1"/>
    </row>
    <row r="27" spans="1:12">
      <c r="A27" s="4">
        <v>2008</v>
      </c>
    </row>
    <row r="36" spans="1:1">
      <c r="A36" s="4">
        <v>2009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abSelected="1" topLeftCell="B1" workbookViewId="0">
      <selection activeCell="M11" sqref="M11"/>
    </sheetView>
  </sheetViews>
  <sheetFormatPr defaultRowHeight="15"/>
  <cols>
    <col min="1" max="1" width="27.42578125" customWidth="1"/>
    <col min="2" max="2" width="24.42578125" customWidth="1"/>
    <col min="3" max="3" width="10.5703125" customWidth="1"/>
    <col min="5" max="5" width="9.28515625" bestFit="1" customWidth="1"/>
    <col min="6" max="10" width="10.85546875" customWidth="1"/>
    <col min="11" max="11" width="12.5703125" customWidth="1"/>
    <col min="12" max="14" width="10.85546875" customWidth="1"/>
  </cols>
  <sheetData>
    <row r="1" spans="1:17">
      <c r="A1" s="14" t="s">
        <v>15</v>
      </c>
      <c r="B1" s="15"/>
      <c r="C1" s="15"/>
      <c r="D1" s="16"/>
      <c r="H1" s="19" t="s">
        <v>23</v>
      </c>
      <c r="I1" s="20"/>
      <c r="J1" s="20"/>
    </row>
    <row r="2" spans="1:17">
      <c r="A2" s="17"/>
      <c r="B2" s="11" t="s">
        <v>14</v>
      </c>
      <c r="C2" s="11"/>
      <c r="D2" s="21">
        <v>0.3</v>
      </c>
      <c r="H2" s="20"/>
      <c r="I2" s="20" t="s">
        <v>20</v>
      </c>
      <c r="J2" s="31">
        <f>L29</f>
        <v>16389.967221176295</v>
      </c>
      <c r="K2" t="s">
        <v>47</v>
      </c>
    </row>
    <row r="3" spans="1:17">
      <c r="A3" s="17"/>
      <c r="B3" s="11" t="s">
        <v>19</v>
      </c>
      <c r="C3" s="11"/>
      <c r="D3" s="22">
        <v>8.9427999999999994E-2</v>
      </c>
      <c r="H3" s="20"/>
      <c r="I3" s="20" t="s">
        <v>21</v>
      </c>
      <c r="J3" s="30">
        <f>IRR(C27:K27)</f>
        <v>9.5173702637241606E-2</v>
      </c>
    </row>
    <row r="4" spans="1:17">
      <c r="A4" s="18"/>
      <c r="B4" s="8" t="s">
        <v>36</v>
      </c>
      <c r="C4" s="8"/>
      <c r="D4" s="23">
        <v>8</v>
      </c>
      <c r="E4" s="24" t="s">
        <v>37</v>
      </c>
      <c r="H4" s="20"/>
      <c r="I4" s="20" t="s">
        <v>22</v>
      </c>
      <c r="J4" s="25">
        <v>7.4</v>
      </c>
      <c r="K4" s="13" t="s">
        <v>38</v>
      </c>
    </row>
    <row r="5" spans="1:17" ht="17.25">
      <c r="H5" s="20"/>
      <c r="I5" s="20" t="s">
        <v>45</v>
      </c>
      <c r="J5" s="33">
        <f>AVERAGE(D16:K16)/(-C20-C21)</f>
        <v>9.6596439545454715E-2</v>
      </c>
      <c r="K5" t="s">
        <v>63</v>
      </c>
    </row>
    <row r="6" spans="1:17" ht="17.25">
      <c r="H6" s="20"/>
      <c r="I6" s="20" t="s">
        <v>46</v>
      </c>
      <c r="J6" s="32">
        <f>AVERAGE(D16:K16)/((-C20-C21+K21+K24)/2)</f>
        <v>0.17138077983870997</v>
      </c>
      <c r="K6" t="s">
        <v>44</v>
      </c>
    </row>
    <row r="7" spans="1:17">
      <c r="A7" s="1" t="s">
        <v>13</v>
      </c>
    </row>
    <row r="9" spans="1:17">
      <c r="E9" t="s">
        <v>16</v>
      </c>
    </row>
    <row r="10" spans="1:17" ht="18" customHeight="1">
      <c r="C10">
        <f>IF($D$4&gt;=0,0,"na")</f>
        <v>0</v>
      </c>
      <c r="D10">
        <f>IF($D$4&gt;=1,1,"na")</f>
        <v>1</v>
      </c>
      <c r="E10">
        <f>IF($D$4&gt;=2,2,"na")</f>
        <v>2</v>
      </c>
      <c r="F10">
        <f>IF($D$4&gt;=3,3,"na")</f>
        <v>3</v>
      </c>
      <c r="G10">
        <f>IF($D$4&gt;=4,4,"na")</f>
        <v>4</v>
      </c>
      <c r="H10">
        <f>IF($D$4&gt;=5,5,"na")</f>
        <v>5</v>
      </c>
      <c r="I10">
        <f>IF($D$4&gt;=6,6,"na")</f>
        <v>6</v>
      </c>
      <c r="J10">
        <f>IF($D$4&gt;=7,7,"na")</f>
        <v>7</v>
      </c>
      <c r="K10">
        <f>IF($D$4&gt;=8,8,"na")</f>
        <v>8</v>
      </c>
      <c r="N10" s="7"/>
      <c r="O10" s="10"/>
      <c r="P10" s="7"/>
      <c r="Q10" s="7"/>
    </row>
    <row r="11" spans="1:17" ht="18" customHeight="1">
      <c r="B11" t="s">
        <v>48</v>
      </c>
      <c r="D11" s="26">
        <v>200000</v>
      </c>
      <c r="E11" s="26">
        <f>D11*1.1</f>
        <v>220000.00000000003</v>
      </c>
      <c r="F11" s="26">
        <f t="shared" ref="F11:K11" si="0">E11*1.1</f>
        <v>242000.00000000006</v>
      </c>
      <c r="G11" s="26">
        <f t="shared" si="0"/>
        <v>266200.00000000006</v>
      </c>
      <c r="H11" s="26">
        <f t="shared" si="0"/>
        <v>292820.00000000012</v>
      </c>
      <c r="I11" s="26">
        <f t="shared" si="0"/>
        <v>322102.00000000017</v>
      </c>
      <c r="J11" s="26">
        <f t="shared" si="0"/>
        <v>354312.20000000024</v>
      </c>
      <c r="K11" s="26">
        <f t="shared" si="0"/>
        <v>389743.42000000027</v>
      </c>
      <c r="N11" s="7"/>
      <c r="O11" s="10"/>
      <c r="P11" s="7"/>
      <c r="Q11" s="7"/>
    </row>
    <row r="12" spans="1:17" ht="18" customHeight="1">
      <c r="B12" t="s">
        <v>49</v>
      </c>
      <c r="D12" s="25">
        <v>150000</v>
      </c>
      <c r="E12" s="25">
        <v>150000</v>
      </c>
      <c r="F12" s="25">
        <v>150000</v>
      </c>
      <c r="G12" s="25">
        <v>150000</v>
      </c>
      <c r="H12" s="25">
        <v>150000</v>
      </c>
      <c r="I12" s="25">
        <v>150000</v>
      </c>
      <c r="J12" s="25">
        <v>150000</v>
      </c>
      <c r="K12" s="25">
        <v>150000</v>
      </c>
      <c r="N12" s="7"/>
      <c r="O12" s="10"/>
      <c r="P12" s="7"/>
      <c r="Q12" s="7"/>
    </row>
    <row r="13" spans="1:17" ht="18" customHeight="1">
      <c r="B13" t="s">
        <v>50</v>
      </c>
      <c r="D13" s="25">
        <v>60000</v>
      </c>
      <c r="E13" s="25">
        <v>60000</v>
      </c>
      <c r="F13" s="25">
        <v>60000</v>
      </c>
      <c r="G13" s="25">
        <v>60000</v>
      </c>
      <c r="H13" s="25">
        <v>60000</v>
      </c>
      <c r="I13" s="25">
        <v>60000</v>
      </c>
      <c r="J13" s="25">
        <v>60000</v>
      </c>
      <c r="K13" s="25">
        <v>60000</v>
      </c>
      <c r="N13" s="7"/>
      <c r="O13" s="10"/>
      <c r="P13" s="7"/>
      <c r="Q13" s="7"/>
    </row>
    <row r="14" spans="1:17" ht="18" customHeight="1">
      <c r="B14" t="s">
        <v>51</v>
      </c>
      <c r="D14" s="27">
        <f>D11-D12-D13</f>
        <v>-10000</v>
      </c>
      <c r="E14" s="27">
        <f t="shared" ref="E14:K14" si="1">E11-E12-E13</f>
        <v>10000.000000000029</v>
      </c>
      <c r="F14" s="27">
        <f t="shared" si="1"/>
        <v>32000.000000000058</v>
      </c>
      <c r="G14" s="27">
        <f t="shared" si="1"/>
        <v>56200.000000000058</v>
      </c>
      <c r="H14" s="27">
        <f t="shared" si="1"/>
        <v>82820.000000000116</v>
      </c>
      <c r="I14" s="27">
        <f t="shared" si="1"/>
        <v>112102.00000000017</v>
      </c>
      <c r="J14" s="27">
        <f t="shared" si="1"/>
        <v>144312.20000000024</v>
      </c>
      <c r="K14" s="27">
        <f t="shared" si="1"/>
        <v>179743.42000000027</v>
      </c>
      <c r="N14" s="7"/>
      <c r="O14" s="10"/>
      <c r="P14" s="7"/>
      <c r="Q14" s="7"/>
    </row>
    <row r="15" spans="1:17" ht="18" customHeight="1">
      <c r="B15" t="s">
        <v>53</v>
      </c>
      <c r="D15" s="27">
        <f>D14*$D$2</f>
        <v>-3000</v>
      </c>
      <c r="E15" s="27">
        <f t="shared" ref="E15:K15" si="2">E14*$D$2</f>
        <v>3000.0000000000086</v>
      </c>
      <c r="F15" s="27">
        <f t="shared" si="2"/>
        <v>9600.0000000000164</v>
      </c>
      <c r="G15" s="27">
        <f t="shared" si="2"/>
        <v>16860.000000000018</v>
      </c>
      <c r="H15" s="27">
        <f t="shared" si="2"/>
        <v>24846.000000000033</v>
      </c>
      <c r="I15" s="27">
        <f t="shared" si="2"/>
        <v>33630.600000000049</v>
      </c>
      <c r="J15" s="27">
        <f t="shared" si="2"/>
        <v>43293.660000000069</v>
      </c>
      <c r="K15" s="27">
        <f t="shared" si="2"/>
        <v>53923.026000000078</v>
      </c>
      <c r="N15" s="7"/>
      <c r="O15" s="10"/>
      <c r="P15" s="7"/>
      <c r="Q15" s="7"/>
    </row>
    <row r="16" spans="1:17" ht="18" customHeight="1">
      <c r="B16" t="s">
        <v>52</v>
      </c>
      <c r="D16" s="27">
        <f>D14-D15</f>
        <v>-7000</v>
      </c>
      <c r="E16" s="27">
        <f t="shared" ref="E16:K16" si="3">E14-E15</f>
        <v>7000.00000000002</v>
      </c>
      <c r="F16" s="27">
        <f t="shared" si="3"/>
        <v>22400.000000000044</v>
      </c>
      <c r="G16" s="27">
        <f t="shared" si="3"/>
        <v>39340.000000000044</v>
      </c>
      <c r="H16" s="27">
        <f t="shared" si="3"/>
        <v>57974.000000000087</v>
      </c>
      <c r="I16" s="27">
        <f t="shared" si="3"/>
        <v>78471.400000000125</v>
      </c>
      <c r="J16" s="27">
        <f t="shared" si="3"/>
        <v>101018.54000000018</v>
      </c>
      <c r="K16" s="27">
        <f t="shared" si="3"/>
        <v>125820.3940000002</v>
      </c>
      <c r="L16" s="27">
        <f>AVERAGE(D16:K16)</f>
        <v>53128.041750000091</v>
      </c>
      <c r="N16" s="7"/>
      <c r="O16" s="10"/>
      <c r="P16" s="7"/>
      <c r="Q16" s="7"/>
    </row>
    <row r="17" spans="2:17" ht="18" customHeight="1">
      <c r="N17" s="7"/>
      <c r="O17" s="10"/>
      <c r="P17" s="7"/>
      <c r="Q17" s="7"/>
    </row>
    <row r="18" spans="2:17" ht="18" customHeight="1">
      <c r="B18" t="s">
        <v>54</v>
      </c>
      <c r="N18" s="7"/>
      <c r="O18" s="10"/>
      <c r="P18" s="7"/>
      <c r="Q18" s="7"/>
    </row>
    <row r="19" spans="2:17">
      <c r="B19" s="1" t="s">
        <v>24</v>
      </c>
    </row>
    <row r="20" spans="2:17">
      <c r="B20" t="s">
        <v>55</v>
      </c>
      <c r="C20">
        <v>-500000</v>
      </c>
    </row>
    <row r="21" spans="2:17">
      <c r="B21" t="s">
        <v>56</v>
      </c>
      <c r="C21">
        <v>-50000</v>
      </c>
      <c r="K21">
        <v>50000</v>
      </c>
    </row>
    <row r="22" spans="2:17">
      <c r="B22" t="s">
        <v>57</v>
      </c>
      <c r="C22">
        <v>-50000</v>
      </c>
    </row>
    <row r="23" spans="2:17">
      <c r="B23" t="s">
        <v>58</v>
      </c>
      <c r="D23" s="27">
        <f>D16+D13</f>
        <v>53000</v>
      </c>
      <c r="E23" s="27">
        <f t="shared" ref="E23:K23" si="4">E16+E13</f>
        <v>67000.000000000015</v>
      </c>
      <c r="F23" s="27">
        <f t="shared" si="4"/>
        <v>82400.000000000044</v>
      </c>
      <c r="G23" s="27">
        <f t="shared" si="4"/>
        <v>99340.000000000044</v>
      </c>
      <c r="H23" s="27">
        <f t="shared" si="4"/>
        <v>117974.00000000009</v>
      </c>
      <c r="I23" s="27">
        <f t="shared" si="4"/>
        <v>138471.40000000014</v>
      </c>
      <c r="J23" s="27">
        <f t="shared" si="4"/>
        <v>161018.54000000018</v>
      </c>
      <c r="K23" s="27">
        <f t="shared" si="4"/>
        <v>185820.3940000002</v>
      </c>
      <c r="Q23" s="11"/>
    </row>
    <row r="24" spans="2:17">
      <c r="B24" t="s">
        <v>59</v>
      </c>
      <c r="K24">
        <v>20000</v>
      </c>
      <c r="Q24" s="9"/>
    </row>
    <row r="26" spans="2:17">
      <c r="C26" s="8"/>
      <c r="D26" s="8"/>
      <c r="E26" s="8"/>
      <c r="F26" s="8"/>
      <c r="G26" s="8"/>
      <c r="H26" s="8"/>
      <c r="I26" s="8"/>
      <c r="J26" s="8"/>
      <c r="K26" s="8"/>
    </row>
    <row r="27" spans="2:17">
      <c r="B27" t="s">
        <v>25</v>
      </c>
      <c r="C27" s="27">
        <f>SUM(C20:C26)</f>
        <v>-600000</v>
      </c>
      <c r="D27" s="27">
        <f t="shared" ref="D27:K27" si="5">SUM(D20:D26)</f>
        <v>53000</v>
      </c>
      <c r="E27" s="27">
        <f t="shared" si="5"/>
        <v>67000.000000000015</v>
      </c>
      <c r="F27" s="27">
        <f t="shared" si="5"/>
        <v>82400.000000000044</v>
      </c>
      <c r="G27" s="27">
        <f t="shared" ref="G27:J27" si="6">SUM(G20:G26)</f>
        <v>99340.000000000044</v>
      </c>
      <c r="H27" s="27">
        <f t="shared" si="6"/>
        <v>117974.00000000009</v>
      </c>
      <c r="I27" s="27">
        <f t="shared" si="6"/>
        <v>138471.40000000014</v>
      </c>
      <c r="J27" s="27">
        <f t="shared" si="6"/>
        <v>161018.54000000018</v>
      </c>
      <c r="K27" s="27">
        <f t="shared" si="5"/>
        <v>255820.3940000002</v>
      </c>
      <c r="L27" s="27"/>
    </row>
    <row r="28" spans="2:17">
      <c r="B28" t="s">
        <v>17</v>
      </c>
      <c r="C28" s="29">
        <f t="shared" ref="C28:G28" si="7">IF(C10=$E$4,"",1/(1+$D$3)^C10)</f>
        <v>1</v>
      </c>
      <c r="D28" s="29">
        <f t="shared" si="7"/>
        <v>0.91791288639542945</v>
      </c>
      <c r="E28" s="29">
        <f t="shared" si="7"/>
        <v>0.84256406701078868</v>
      </c>
      <c r="F28" s="29">
        <f t="shared" si="7"/>
        <v>0.77340041472294507</v>
      </c>
      <c r="G28" s="29">
        <f t="shared" si="7"/>
        <v>0.70991420701776087</v>
      </c>
      <c r="H28" s="29">
        <f>IF(H10=$E$4,"",1/(1+$D$3)^H10)</f>
        <v>0.65163939885679534</v>
      </c>
      <c r="I28" s="29">
        <f t="shared" ref="I28:K28" si="8">IF(I10=$E$4,"",1/(1+$D$3)^I10)</f>
        <v>0.59814820149362358</v>
      </c>
      <c r="J28" s="29">
        <f t="shared" si="8"/>
        <v>0.54904794212524699</v>
      </c>
      <c r="K28" s="29">
        <f t="shared" si="8"/>
        <v>0.50397818132565619</v>
      </c>
      <c r="L28" s="27"/>
    </row>
    <row r="29" spans="2:17">
      <c r="B29" t="s">
        <v>18</v>
      </c>
      <c r="C29" s="27">
        <f t="shared" ref="C29:G29" si="9">IF(C10=$E$4,"",C27*C28)</f>
        <v>-600000</v>
      </c>
      <c r="D29" s="27">
        <f t="shared" si="9"/>
        <v>48649.382978957758</v>
      </c>
      <c r="E29" s="27">
        <f t="shared" si="9"/>
        <v>56451.792489722851</v>
      </c>
      <c r="F29" s="27">
        <f t="shared" si="9"/>
        <v>63728.194173170705</v>
      </c>
      <c r="G29" s="27">
        <f t="shared" si="9"/>
        <v>70522.877325144393</v>
      </c>
      <c r="H29" s="27">
        <f>IF(H10=$E$4,"",H27*H28)</f>
        <v>76876.506440731624</v>
      </c>
      <c r="I29" s="27">
        <f t="shared" ref="I29:K29" si="10">IF(I10=$E$4,"",I27*I28)</f>
        <v>82826.41886830423</v>
      </c>
      <c r="J29" s="27">
        <f t="shared" si="10"/>
        <v>88406.898031011864</v>
      </c>
      <c r="K29" s="27">
        <f t="shared" si="10"/>
        <v>128927.89691413291</v>
      </c>
      <c r="L29" s="28">
        <f>SUM(C29:K29)</f>
        <v>16389.967221176295</v>
      </c>
      <c r="M29" s="12" t="s">
        <v>20</v>
      </c>
    </row>
    <row r="35" spans="2:7">
      <c r="B35" t="s">
        <v>39</v>
      </c>
      <c r="C35" t="s">
        <v>16</v>
      </c>
      <c r="D35" t="s">
        <v>40</v>
      </c>
      <c r="E35" t="s">
        <v>41</v>
      </c>
    </row>
    <row r="36" spans="2:7">
      <c r="C36">
        <f>C10</f>
        <v>0</v>
      </c>
      <c r="D36" s="27">
        <f>C27</f>
        <v>-600000</v>
      </c>
      <c r="G36" t="s">
        <v>60</v>
      </c>
    </row>
    <row r="37" spans="2:7">
      <c r="C37">
        <f>D10</f>
        <v>1</v>
      </c>
      <c r="D37">
        <f>D27</f>
        <v>53000</v>
      </c>
      <c r="E37" s="27">
        <f>D36+D37</f>
        <v>-547000</v>
      </c>
    </row>
    <row r="38" spans="2:7">
      <c r="C38">
        <f>E10</f>
        <v>2</v>
      </c>
      <c r="D38">
        <f>E27</f>
        <v>67000.000000000015</v>
      </c>
      <c r="E38" s="27">
        <f>E37+D38</f>
        <v>-480000</v>
      </c>
      <c r="G38" t="s">
        <v>42</v>
      </c>
    </row>
    <row r="39" spans="2:7">
      <c r="C39">
        <f>F10</f>
        <v>3</v>
      </c>
      <c r="D39">
        <f>F27</f>
        <v>82400.000000000044</v>
      </c>
      <c r="E39" s="27">
        <f t="shared" ref="E39:E44" si="11">E38+D39</f>
        <v>-397599.99999999994</v>
      </c>
      <c r="G39" t="s">
        <v>43</v>
      </c>
    </row>
    <row r="40" spans="2:7">
      <c r="C40">
        <f>G10</f>
        <v>4</v>
      </c>
      <c r="D40">
        <f>G27</f>
        <v>99340.000000000044</v>
      </c>
      <c r="E40" s="27">
        <f t="shared" si="11"/>
        <v>-298259.99999999988</v>
      </c>
    </row>
    <row r="41" spans="2:7">
      <c r="C41">
        <f>H10</f>
        <v>5</v>
      </c>
      <c r="D41">
        <f>H27</f>
        <v>117974.00000000009</v>
      </c>
      <c r="E41" s="27">
        <f t="shared" si="11"/>
        <v>-180285.9999999998</v>
      </c>
    </row>
    <row r="42" spans="2:7">
      <c r="C42">
        <v>6</v>
      </c>
      <c r="D42" s="27">
        <f>I27</f>
        <v>138471.40000000014</v>
      </c>
      <c r="E42" s="27">
        <f t="shared" si="11"/>
        <v>-41814.599999999657</v>
      </c>
    </row>
    <row r="43" spans="2:7">
      <c r="C43">
        <v>7</v>
      </c>
      <c r="D43" s="27">
        <f>J27</f>
        <v>161018.54000000018</v>
      </c>
      <c r="E43" s="27">
        <f t="shared" si="11"/>
        <v>119203.94000000053</v>
      </c>
      <c r="G43" t="s">
        <v>61</v>
      </c>
    </row>
    <row r="44" spans="2:7">
      <c r="C44">
        <v>8</v>
      </c>
      <c r="D44" s="27">
        <f>K27</f>
        <v>255820.3940000002</v>
      </c>
      <c r="E44" s="27">
        <f t="shared" si="11"/>
        <v>375024.33400000073</v>
      </c>
    </row>
    <row r="45" spans="2:7">
      <c r="G45" t="s">
        <v>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Quality Management</vt:lpstr>
      <vt:lpstr>Capital Investment Decisions</vt:lpstr>
    </vt:vector>
  </TitlesOfParts>
  <Company>University of the Sunshine Coast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 Wynder</dc:creator>
  <cp:lastModifiedBy>Monte Wynder</cp:lastModifiedBy>
  <dcterms:created xsi:type="dcterms:W3CDTF">2010-06-06T22:43:33Z</dcterms:created>
  <dcterms:modified xsi:type="dcterms:W3CDTF">2010-06-15T01:47:22Z</dcterms:modified>
</cp:coreProperties>
</file>