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93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'Sheet1'!$A$75:$H$117</definedName>
  </definedNames>
  <calcPr fullCalcOnLoad="1"/>
</workbook>
</file>

<file path=xl/comments1.xml><?xml version="1.0" encoding="utf-8"?>
<comments xmlns="http://schemas.openxmlformats.org/spreadsheetml/2006/main">
  <authors>
    <author>ellismi</author>
  </authors>
  <commentList>
    <comment ref="A220" authorId="0">
      <text>
        <r>
          <rPr>
            <b/>
            <sz val="8"/>
            <rFont val="Tahoma"/>
            <family val="0"/>
          </rPr>
          <t>This ratio should not be too high or too low.  Too high cuts into profitability and too low is dangerous.</t>
        </r>
        <r>
          <rPr>
            <sz val="8"/>
            <rFont val="Tahoma"/>
            <family val="0"/>
          </rPr>
          <t xml:space="preserve">
</t>
        </r>
      </text>
    </comment>
    <comment ref="A226" authorId="0">
      <text>
        <r>
          <rPr>
            <sz val="8"/>
            <rFont val="Tahoma"/>
            <family val="0"/>
          </rPr>
          <t xml:space="preserve">This is the (LTD plus the current portion of LTD plus operating leases) divided by the total assets
</t>
        </r>
      </text>
    </comment>
    <comment ref="AE52" authorId="0">
      <text>
        <r>
          <rPr>
            <sz val="8"/>
            <rFont val="Tahoma"/>
            <family val="0"/>
          </rPr>
          <t xml:space="preserve">This is the constant growth valuation model.  Which is next year's cash flow divided by (the WACC - growth)
</t>
        </r>
      </text>
    </comment>
  </commentList>
</comments>
</file>

<file path=xl/sharedStrings.xml><?xml version="1.0" encoding="utf-8"?>
<sst xmlns="http://schemas.openxmlformats.org/spreadsheetml/2006/main" count="310" uniqueCount="208">
  <si>
    <t>Sales</t>
  </si>
  <si>
    <t>Growth in sales per year</t>
  </si>
  <si>
    <t>Cost of sales</t>
  </si>
  <si>
    <t>Selling and administrative</t>
  </si>
  <si>
    <t>Depreciation and Amortization</t>
  </si>
  <si>
    <t>Interest expense</t>
  </si>
  <si>
    <t>Other income or expense</t>
  </si>
  <si>
    <t>Income before taxes</t>
  </si>
  <si>
    <t>Provision for Taxes</t>
  </si>
  <si>
    <t>Net Income per Books</t>
  </si>
  <si>
    <t>Earning per share</t>
  </si>
  <si>
    <t>Diluted Earnings per share</t>
  </si>
  <si>
    <t>Approx. Weighted Avg # of shares</t>
  </si>
  <si>
    <t>App. Weight. Avg # of shares With dilution</t>
  </si>
  <si>
    <t>Potentially dilutive securities and Options</t>
  </si>
  <si>
    <t>Cash</t>
  </si>
  <si>
    <t>Cash to sales</t>
  </si>
  <si>
    <t>BALANCE SHEET RATIOS:</t>
  </si>
  <si>
    <t xml:space="preserve">Inventory </t>
  </si>
  <si>
    <t>Other</t>
  </si>
  <si>
    <t>Total current assets</t>
  </si>
  <si>
    <t>Net Plant property and equipment</t>
  </si>
  <si>
    <t>Goodwill</t>
  </si>
  <si>
    <t>Intangibles</t>
  </si>
  <si>
    <t>Long term deferred income tax asset</t>
  </si>
  <si>
    <t>Current portion of deferred tax asset</t>
  </si>
  <si>
    <t>Other assets</t>
  </si>
  <si>
    <t>Total assets</t>
  </si>
  <si>
    <t>Accounts receivables to sales</t>
  </si>
  <si>
    <t>Days outstanding</t>
  </si>
  <si>
    <t>Inventory to cost of good sold</t>
  </si>
  <si>
    <t>Days inventory on hand</t>
  </si>
  <si>
    <t>Plant property and equipment to sales</t>
  </si>
  <si>
    <t>Growth in PPE year to year</t>
  </si>
  <si>
    <t>Common Sized Income Statement</t>
  </si>
  <si>
    <t>Operating profit</t>
  </si>
  <si>
    <t>Liabilities and Equity</t>
  </si>
  <si>
    <t>Current portion of LTD</t>
  </si>
  <si>
    <t>Acct payable and Accrued Liab</t>
  </si>
  <si>
    <t xml:space="preserve">  Total liabilities</t>
  </si>
  <si>
    <t>Long term debt</t>
  </si>
  <si>
    <t>Post retirement benefit (excluding pension)</t>
  </si>
  <si>
    <t>Other long term liabilities</t>
  </si>
  <si>
    <t xml:space="preserve">  Total current liabilities</t>
  </si>
  <si>
    <t>Total stockholders equity</t>
  </si>
  <si>
    <t xml:space="preserve">   Total liabilities and equity</t>
  </si>
  <si>
    <t>Years</t>
  </si>
  <si>
    <t>Deferred Income Tax Liability</t>
  </si>
  <si>
    <t>Accounts receivable turnover</t>
  </si>
  <si>
    <t>Inventory turnover</t>
  </si>
  <si>
    <t>Net fixed asset turnover</t>
  </si>
  <si>
    <t>Total asset turnover</t>
  </si>
  <si>
    <t>LIQUIDITY RATIOS</t>
  </si>
  <si>
    <t>Current ratio</t>
  </si>
  <si>
    <t>Acid Test or Quick ratio</t>
  </si>
  <si>
    <t>Net working capital</t>
  </si>
  <si>
    <t>Ability to pay from collateral</t>
  </si>
  <si>
    <t>Debt to total assets</t>
  </si>
  <si>
    <t>Reported and estimated lease payment</t>
  </si>
  <si>
    <t>Schedule to estimate the marginal tax rate from reported taxes</t>
  </si>
  <si>
    <t>Average tax rate</t>
  </si>
  <si>
    <t>After tax lease payments</t>
  </si>
  <si>
    <t>Present value of future lease payments</t>
  </si>
  <si>
    <t>Debt to tangible assets</t>
  </si>
  <si>
    <t xml:space="preserve">  Interest coverage</t>
  </si>
  <si>
    <t xml:space="preserve">  Fixed charge coverage</t>
  </si>
  <si>
    <t xml:space="preserve">  Return on Sales</t>
  </si>
  <si>
    <t xml:space="preserve">  Gross Margin</t>
  </si>
  <si>
    <t xml:space="preserve">  Return on tangible assets</t>
  </si>
  <si>
    <t xml:space="preserve">  Return on total assets</t>
  </si>
  <si>
    <t xml:space="preserve">  Return on equity</t>
  </si>
  <si>
    <t xml:space="preserve">  Price to sales</t>
  </si>
  <si>
    <t xml:space="preserve">  Price to book</t>
  </si>
  <si>
    <t xml:space="preserve">  Price to earning</t>
  </si>
  <si>
    <t>Number of shares outstanding (000's)</t>
  </si>
  <si>
    <t>EFFICIENCY RATIOS:</t>
  </si>
  <si>
    <t xml:space="preserve">  Forward PE</t>
  </si>
  <si>
    <t>Average market price</t>
  </si>
  <si>
    <t>Schedule to calculate the Weighted Average Cost of Capital</t>
  </si>
  <si>
    <t xml:space="preserve">  Current portion of long term debt</t>
  </si>
  <si>
    <t xml:space="preserve">  Long term debt</t>
  </si>
  <si>
    <t xml:space="preserve">    Total debt</t>
  </si>
  <si>
    <t xml:space="preserve">  Average market price</t>
  </si>
  <si>
    <t xml:space="preserve">  Percentage debt</t>
  </si>
  <si>
    <t xml:space="preserve">  Percentage equity</t>
  </si>
  <si>
    <t>Cost of Debt</t>
  </si>
  <si>
    <t>Cost of Equity using the capital asset pricing model</t>
  </si>
  <si>
    <t xml:space="preserve">  Risk free rate on 10 Treasuries</t>
  </si>
  <si>
    <t xml:space="preserve">  Gardner Denver's beta</t>
  </si>
  <si>
    <t>Year</t>
  </si>
  <si>
    <t xml:space="preserve">    Cost of equity</t>
  </si>
  <si>
    <t xml:space="preserve">  Debt</t>
  </si>
  <si>
    <t xml:space="preserve">  Equity</t>
  </si>
  <si>
    <t xml:space="preserve">    Weighted average cost of capital</t>
  </si>
  <si>
    <t>Depreciation as a % of prior years PPE</t>
  </si>
  <si>
    <t>Interest as a % of LTD &amp; Current LTD</t>
  </si>
  <si>
    <t>Acct pay and accruals to sales</t>
  </si>
  <si>
    <t>Add back depreciation</t>
  </si>
  <si>
    <t xml:space="preserve">Accounts receivable </t>
  </si>
  <si>
    <t xml:space="preserve">    Incremental investment in working capital </t>
  </si>
  <si>
    <t>Schedule to calculate the Capital expenditures</t>
  </si>
  <si>
    <t>Depreciation</t>
  </si>
  <si>
    <t>Capital expenditures</t>
  </si>
  <si>
    <t>Sale of PPE</t>
  </si>
  <si>
    <t>Beginning plant property and equipment</t>
  </si>
  <si>
    <t>Ending Plant property and equipment</t>
  </si>
  <si>
    <t>Subtract</t>
  </si>
  <si>
    <t xml:space="preserve">  Debt </t>
  </si>
  <si>
    <t>Total free cash flow and continuing value</t>
  </si>
  <si>
    <t xml:space="preserve">  Post retirement obligation excluding pensions</t>
  </si>
  <si>
    <t>Share issued and outstanding</t>
  </si>
  <si>
    <t xml:space="preserve">  Total stock outstanding and under option</t>
  </si>
  <si>
    <t>Accounts Receivables</t>
  </si>
  <si>
    <t>Inventory</t>
  </si>
  <si>
    <t>Accounts payable accrued expense</t>
  </si>
  <si>
    <t>Schedule to bring operating lease on the Balance Sheet:</t>
  </si>
  <si>
    <t xml:space="preserve">  Estimated number of shares</t>
  </si>
  <si>
    <t xml:space="preserve">    Estimated market capitalization</t>
  </si>
  <si>
    <t>Projected</t>
  </si>
  <si>
    <t xml:space="preserve">Estimated target component percentages </t>
  </si>
  <si>
    <t xml:space="preserve">  Market risk premium </t>
  </si>
  <si>
    <t xml:space="preserve">  Present value of Lease operating off B/S obligations</t>
  </si>
  <si>
    <t>Intrinsic value per share based on assumptions</t>
  </si>
  <si>
    <t>The plant and equipment account is assumed to equal the depreciation expense -- which is also supported by history.</t>
  </si>
  <si>
    <t>The light blue section is the yearly free cash flows plus the continuing value.</t>
  </si>
  <si>
    <t>The darker green section is the continuing or disposal value of the business after it reaches a constant growth rate.</t>
  </si>
  <si>
    <t>Sales growth from year to year</t>
  </si>
  <si>
    <t>Cost of good sold as a percentage of sales</t>
  </si>
  <si>
    <t>Selling and G and A as a percentage of sales</t>
  </si>
  <si>
    <t>Tax rate as a percentage of taxable income --  ignoring interest</t>
  </si>
  <si>
    <t>Cash as a percentage of sales</t>
  </si>
  <si>
    <t>Accounts Receivables as a percentage of sales</t>
  </si>
  <si>
    <t>Acct payable and Accrued Liab as a percentage of sales</t>
  </si>
  <si>
    <t>Net Plant property and equipment as a percentage of the following years sales</t>
  </si>
  <si>
    <t>competitive advantage.  By far the most important estimate is Gardner's ability to grow sales followed by its ability to control cost.</t>
  </si>
  <si>
    <t>The standard constant growth model in used -- by dividing next years cash flows by the WACC minus assumed constant growth</t>
  </si>
  <si>
    <t>Intrinsic value to the shareholders after subtracting other claims)</t>
  </si>
  <si>
    <t>Historical Relationships:</t>
  </si>
  <si>
    <t>Other income or expense (not material)</t>
  </si>
  <si>
    <t xml:space="preserve">  Pension (unfunded/ adjusted liability)</t>
  </si>
  <si>
    <t>Market Data: (from Yahoo Finance Website)</t>
  </si>
  <si>
    <t>Change in depreciation Year to Year</t>
  </si>
  <si>
    <t>DEBT RATIOS: Ability to pay from collateral</t>
  </si>
  <si>
    <t>DEBT RATIOS: Ability to pay from cash flows</t>
  </si>
  <si>
    <t>Supporting Schedule to calculate the incremental investment in Working Capital</t>
  </si>
  <si>
    <t>Subtract additional working capital investment (see supporting schedule below)</t>
  </si>
  <si>
    <t xml:space="preserve">Free cash flow during the projection period </t>
  </si>
  <si>
    <t xml:space="preserve">Continuing enterprise value in </t>
  </si>
  <si>
    <t>forward</t>
  </si>
  <si>
    <t>Debt components:</t>
  </si>
  <si>
    <t>Equity components:</t>
  </si>
  <si>
    <t>Estimated total debt and equity using market value (excluding options):</t>
  </si>
  <si>
    <t>MARKET RATIOS:</t>
  </si>
  <si>
    <t>PROFITABILITY RATIOS:</t>
  </si>
  <si>
    <t>Cost of goods sold to sales</t>
  </si>
  <si>
    <t>Selling general and administration to sales</t>
  </si>
  <si>
    <t>Historical Balance Sheet Data:</t>
  </si>
  <si>
    <t xml:space="preserve">Historical Income Statement Data : </t>
  </si>
  <si>
    <t>Q1 08</t>
  </si>
  <si>
    <t>Q2 08</t>
  </si>
  <si>
    <t>Before tax cost of debt</t>
  </si>
  <si>
    <t>Marginal tax rate</t>
  </si>
  <si>
    <t>After tax cost of debt</t>
  </si>
  <si>
    <t>EVERYTHING BELOW HERE IS SUPPORTING DOCUMENTATION AND RATIOS:</t>
  </si>
  <si>
    <t>Add "in the money" options granted -- from options footnote</t>
  </si>
  <si>
    <t xml:space="preserve">  Net working capital </t>
  </si>
  <si>
    <t>Present value of the Firm (from future cash flows)</t>
  </si>
  <si>
    <t>The continuing value looks large but it is a number 30 years from now.</t>
  </si>
  <si>
    <t>The intrinsic value per share would be…………………………..</t>
  </si>
  <si>
    <t xml:space="preserve">Actual </t>
  </si>
  <si>
    <t>I use a long time frame because computer power is cheap and you have to go far enough into the future for the growth in sales to level off and remain constant.</t>
  </si>
  <si>
    <t>Section 4:  Deducting other financial and other claims to calculate the intrinsic value of common equity:</t>
  </si>
  <si>
    <t>Section 5:  Adding back "in the money" options to calculate the intrinsic market value per share:</t>
  </si>
  <si>
    <t>Section 1 -- The tan section is the assumptions section -- these assumptions should be grounded in history and analysis of the sustainability of Gardner's</t>
  </si>
  <si>
    <t>Section 2 -- The darker yellow section uses the light yellow assumption to project the income statement into the future.</t>
  </si>
  <si>
    <t>Section 3 -- The light green and purple section is grounded in history and deals with the fact that growing business need to invest in working capital to grow.</t>
  </si>
  <si>
    <t>Section 4 -- The darker blue section is the present value of the yearly free cash flows and continuing value.  All other claims must be subtracted from this value.</t>
  </si>
  <si>
    <t>Section 5 -- The "in the money" option shares must be added to the shares outstanding because they will likely be exercised.  These numbers are from the options footnote.</t>
  </si>
  <si>
    <t>Depreciation and amortization as a percentage of prior years PPE</t>
  </si>
  <si>
    <t xml:space="preserve">Interest expense (not deducted because this is a financial item and is accounted for in the WACC) </t>
  </si>
  <si>
    <t xml:space="preserve">Projected operating net income </t>
  </si>
  <si>
    <t>Section 3:  Converting the projected income statement into projected free cash flow:</t>
  </si>
  <si>
    <t>Section 2:  Projected operating income statement:</t>
  </si>
  <si>
    <t>Section 1:  Assumptions:</t>
  </si>
  <si>
    <t>Scenario analysis -- Forecasting a scenario and changing all items that would change:</t>
  </si>
  <si>
    <t>Most Likely Scenario:</t>
  </si>
  <si>
    <t>Pessimistic Scenario:</t>
  </si>
  <si>
    <t>Optimistic Scenario:</t>
  </si>
  <si>
    <t xml:space="preserve">1. Suppose the economy stays in a slow growth stage for a prolong period of time -- Gardner sales growth fall to -5% growth rate for 2009 through 2013 </t>
  </si>
  <si>
    <t>Sales growth after that return to a 3% state by decrease to 7% in 2021,6%b in 2022, 5% in 2023, 4% in 2024 and 3% thereafter.</t>
  </si>
  <si>
    <t xml:space="preserve">During this same period of time the cost of goods sold move to 70% due to underutilized operating leverage for the years 2009 through 2011. </t>
  </si>
  <si>
    <t>The cost of goods sold decrease to 68% thereafter.</t>
  </si>
  <si>
    <t>The accounts receivable and inventory to sales ratios increase by 2% during the 2009 to 2013 period.</t>
  </si>
  <si>
    <t>Share</t>
  </si>
  <si>
    <t>Price</t>
  </si>
  <si>
    <t>Probability</t>
  </si>
  <si>
    <t>Summary calculation of the expected intrinsic value per share using a three scenario approach:</t>
  </si>
  <si>
    <t>Sales growth after that return to a 3% state by decrease to 4% in 2021, and 3% thereafter.</t>
  </si>
  <si>
    <t>As the company emerges from this depressed state the sales growth return to 8 percent during the years 2014 to 2020 (this is not higher because of problems finding acquisition candidates)</t>
  </si>
  <si>
    <t>As the company emerges from this depressed state the sales growth return to 6 percent during the years 2014 to 2020 (not higher because of large writedowns of goodwill and trouble raising additional capital)</t>
  </si>
  <si>
    <t xml:space="preserve">The cost of goods sold move to 70% due to underutilized operating leverage for all projected years  </t>
  </si>
  <si>
    <t>The weighted average cost of capital increases to 12% due to sustained inflation in the economy (WACC is in cell b311)</t>
  </si>
  <si>
    <t xml:space="preserve">1. Suppose the economy and oil industry bounce back quickly - Gardner sales growth fall to 0% growth rate for 2009 through 2010 </t>
  </si>
  <si>
    <t>As the company emerges from this depressed state the sales growth return to 8 percent during the years 2010 to 2020 (not higher because of problems finding acquisition candidates)</t>
  </si>
  <si>
    <t xml:space="preserve">During this same period of time cost initiative contain the cost of goods sold at 68% for the years 2009 through 2011. </t>
  </si>
  <si>
    <t>The cost of goods sold decrease to 66% thereafter.</t>
  </si>
  <si>
    <t>Selling and administrative expense decrease to 17% forever.</t>
  </si>
  <si>
    <t>Expected intrinsic value per share using a three scenario approach: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</si>
</sst>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6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3" fillId="0" borderId="0" xfId="59" applyNumberFormat="1" applyFont="1" applyAlignment="1">
      <alignment/>
    </xf>
    <xf numFmtId="164" fontId="4" fillId="0" borderId="0" xfId="59" applyNumberFormat="1" applyFont="1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66" fontId="3" fillId="0" borderId="0" xfId="44" applyNumberFormat="1" applyFont="1" applyAlignment="1">
      <alignment/>
    </xf>
    <xf numFmtId="44" fontId="0" fillId="0" borderId="0" xfId="44" applyFont="1" applyAlignment="1">
      <alignment/>
    </xf>
    <xf numFmtId="166" fontId="0" fillId="0" borderId="10" xfId="44" applyNumberFormat="1" applyFont="1" applyBorder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10" fontId="4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164" fontId="0" fillId="0" borderId="0" xfId="59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6" fontId="4" fillId="0" borderId="0" xfId="44" applyNumberFormat="1" applyFont="1" applyAlignment="1">
      <alignment/>
    </xf>
    <xf numFmtId="0" fontId="0" fillId="0" borderId="11" xfId="0" applyBorder="1" applyAlignment="1">
      <alignment horizontal="right"/>
    </xf>
    <xf numFmtId="166" fontId="0" fillId="0" borderId="0" xfId="44" applyNumberFormat="1" applyFont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0" fillId="22" borderId="0" xfId="0" applyFill="1" applyAlignment="1">
      <alignment horizontal="right"/>
    </xf>
    <xf numFmtId="0" fontId="0" fillId="22" borderId="0" xfId="0" applyFill="1" applyAlignment="1">
      <alignment/>
    </xf>
    <xf numFmtId="10" fontId="7" fillId="22" borderId="0" xfId="59" applyNumberFormat="1" applyFont="1" applyFill="1" applyAlignment="1">
      <alignment/>
    </xf>
    <xf numFmtId="164" fontId="7" fillId="22" borderId="0" xfId="59" applyNumberFormat="1" applyFont="1" applyFill="1" applyAlignment="1">
      <alignment/>
    </xf>
    <xf numFmtId="164" fontId="0" fillId="22" borderId="0" xfId="59" applyNumberFormat="1" applyFont="1" applyFill="1" applyAlignment="1">
      <alignment/>
    </xf>
    <xf numFmtId="0" fontId="0" fillId="24" borderId="0" xfId="0" applyFill="1" applyAlignment="1">
      <alignment/>
    </xf>
    <xf numFmtId="166" fontId="0" fillId="24" borderId="0" xfId="44" applyNumberFormat="1" applyFont="1" applyFill="1" applyAlignment="1">
      <alignment/>
    </xf>
    <xf numFmtId="166" fontId="3" fillId="24" borderId="0" xfId="44" applyNumberFormat="1" applyFont="1" applyFill="1" applyAlignment="1">
      <alignment/>
    </xf>
    <xf numFmtId="0" fontId="0" fillId="24" borderId="10" xfId="0" applyFill="1" applyBorder="1" applyAlignment="1">
      <alignment/>
    </xf>
    <xf numFmtId="166" fontId="0" fillId="24" borderId="10" xfId="44" applyNumberFormat="1" applyFont="1" applyFill="1" applyBorder="1" applyAlignment="1">
      <alignment/>
    </xf>
    <xf numFmtId="166" fontId="0" fillId="2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4" borderId="10" xfId="0" applyNumberFormat="1" applyFill="1" applyBorder="1" applyAlignment="1">
      <alignment/>
    </xf>
    <xf numFmtId="166" fontId="0" fillId="25" borderId="0" xfId="0" applyNumberFormat="1" applyFill="1" applyAlignment="1">
      <alignment/>
    </xf>
    <xf numFmtId="166" fontId="0" fillId="26" borderId="0" xfId="0" applyNumberFormat="1" applyFill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5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166" fontId="0" fillId="5" borderId="0" xfId="44" applyNumberFormat="1" applyFont="1" applyFill="1" applyAlignment="1">
      <alignment/>
    </xf>
    <xf numFmtId="166" fontId="0" fillId="5" borderId="10" xfId="44" applyNumberFormat="1" applyFont="1" applyFill="1" applyBorder="1" applyAlignment="1">
      <alignment/>
    </xf>
    <xf numFmtId="166" fontId="0" fillId="5" borderId="0" xfId="59" applyNumberFormat="1" applyFont="1" applyFill="1" applyAlignment="1">
      <alignment/>
    </xf>
    <xf numFmtId="166" fontId="0" fillId="5" borderId="0" xfId="0" applyNumberFormat="1" applyFill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5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27" borderId="11" xfId="0" applyFill="1" applyBorder="1" applyAlignment="1">
      <alignment/>
    </xf>
    <xf numFmtId="166" fontId="0" fillId="0" borderId="0" xfId="44" applyNumberFormat="1" applyAlignment="1">
      <alignment/>
    </xf>
    <xf numFmtId="166" fontId="0" fillId="0" borderId="10" xfId="44" applyNumberFormat="1" applyBorder="1" applyAlignment="1">
      <alignment/>
    </xf>
    <xf numFmtId="0" fontId="12" fillId="22" borderId="0" xfId="0" applyFont="1" applyFill="1" applyAlignment="1">
      <alignment/>
    </xf>
    <xf numFmtId="0" fontId="0" fillId="4" borderId="0" xfId="0" applyFill="1" applyAlignment="1">
      <alignment/>
    </xf>
    <xf numFmtId="0" fontId="12" fillId="5" borderId="0" xfId="0" applyFont="1" applyFill="1" applyAlignment="1">
      <alignment/>
    </xf>
    <xf numFmtId="0" fontId="0" fillId="26" borderId="0" xfId="0" applyFill="1" applyAlignment="1">
      <alignment/>
    </xf>
    <xf numFmtId="0" fontId="0" fillId="25" borderId="0" xfId="0" applyFill="1" applyAlignment="1">
      <alignment/>
    </xf>
    <xf numFmtId="0" fontId="0" fillId="5" borderId="0" xfId="0" applyFill="1" applyAlignment="1">
      <alignment/>
    </xf>
    <xf numFmtId="164" fontId="0" fillId="22" borderId="0" xfId="59" applyNumberFormat="1" applyFont="1" applyFill="1" applyAlignment="1">
      <alignment/>
    </xf>
    <xf numFmtId="164" fontId="3" fillId="22" borderId="0" xfId="59" applyNumberFormat="1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27" borderId="0" xfId="0" applyFont="1" applyFill="1" applyAlignment="1">
      <alignment/>
    </xf>
    <xf numFmtId="0" fontId="0" fillId="22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28" borderId="0" xfId="0" applyFont="1" applyFill="1" applyAlignment="1">
      <alignment/>
    </xf>
    <xf numFmtId="166" fontId="0" fillId="28" borderId="0" xfId="0" applyNumberFormat="1" applyFill="1" applyAlignment="1">
      <alignment/>
    </xf>
    <xf numFmtId="0" fontId="0" fillId="28" borderId="0" xfId="0" applyFill="1" applyAlignment="1">
      <alignment/>
    </xf>
    <xf numFmtId="166" fontId="4" fillId="28" borderId="0" xfId="44" applyNumberFormat="1" applyFont="1" applyFill="1" applyAlignment="1">
      <alignment/>
    </xf>
    <xf numFmtId="0" fontId="0" fillId="26" borderId="16" xfId="0" applyFont="1" applyFill="1" applyBorder="1" applyAlignment="1">
      <alignment/>
    </xf>
    <xf numFmtId="0" fontId="0" fillId="17" borderId="0" xfId="0" applyFill="1" applyAlignment="1">
      <alignment/>
    </xf>
    <xf numFmtId="168" fontId="0" fillId="17" borderId="0" xfId="42" applyNumberFormat="1" applyFont="1" applyFill="1" applyAlignment="1">
      <alignment/>
    </xf>
    <xf numFmtId="168" fontId="0" fillId="17" borderId="10" xfId="42" applyNumberFormat="1" applyFont="1" applyFill="1" applyBorder="1" applyAlignment="1">
      <alignment/>
    </xf>
    <xf numFmtId="166" fontId="0" fillId="17" borderId="0" xfId="0" applyNumberFormat="1" applyFill="1" applyAlignment="1">
      <alignment/>
    </xf>
    <xf numFmtId="44" fontId="0" fillId="17" borderId="0" xfId="0" applyNumberFormat="1" applyFill="1" applyAlignment="1">
      <alignment/>
    </xf>
    <xf numFmtId="0" fontId="0" fillId="17" borderId="14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5" xfId="0" applyFill="1" applyBorder="1" applyAlignment="1">
      <alignment/>
    </xf>
    <xf numFmtId="0" fontId="12" fillId="22" borderId="0" xfId="0" applyFont="1" applyFill="1" applyAlignment="1">
      <alignment/>
    </xf>
    <xf numFmtId="0" fontId="0" fillId="24" borderId="0" xfId="0" applyFont="1" applyFill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17" xfId="0" applyNumberFormat="1" applyBorder="1" applyAlignment="1">
      <alignment/>
    </xf>
    <xf numFmtId="9" fontId="0" fillId="0" borderId="17" xfId="59" applyFont="1" applyBorder="1" applyAlignment="1">
      <alignment/>
    </xf>
    <xf numFmtId="9" fontId="0" fillId="0" borderId="0" xfId="59" applyFont="1" applyBorder="1" applyAlignment="1">
      <alignment/>
    </xf>
    <xf numFmtId="166" fontId="11" fillId="0" borderId="17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9" fontId="15" fillId="0" borderId="17" xfId="59" applyFont="1" applyBorder="1" applyAlignment="1">
      <alignment/>
    </xf>
    <xf numFmtId="166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571500</xdr:colOff>
      <xdr:row>45</xdr:row>
      <xdr:rowOff>28575</xdr:rowOff>
    </xdr:from>
    <xdr:to>
      <xdr:col>15</xdr:col>
      <xdr:colOff>571500</xdr:colOff>
      <xdr:row>45</xdr:row>
      <xdr:rowOff>238125</xdr:rowOff>
    </xdr:to>
    <xdr:sp>
      <xdr:nvSpPr>
        <xdr:cNvPr id="1" name="Line 9"/>
        <xdr:cNvSpPr>
          <a:spLocks/>
        </xdr:cNvSpPr>
      </xdr:nvSpPr>
      <xdr:spPr>
        <a:xfrm>
          <a:off x="15411450" y="8001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514350</xdr:colOff>
      <xdr:row>51</xdr:row>
      <xdr:rowOff>0</xdr:rowOff>
    </xdr:from>
    <xdr:to>
      <xdr:col>30</xdr:col>
      <xdr:colOff>523875</xdr:colOff>
      <xdr:row>51</xdr:row>
      <xdr:rowOff>0</xdr:rowOff>
    </xdr:to>
    <xdr:sp>
      <xdr:nvSpPr>
        <xdr:cNvPr id="2" name="Line 12"/>
        <xdr:cNvSpPr>
          <a:spLocks/>
        </xdr:cNvSpPr>
      </xdr:nvSpPr>
      <xdr:spPr>
        <a:xfrm>
          <a:off x="26736675" y="909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1"/>
  <sheetViews>
    <sheetView tabSelected="1" zoomScalePageLayoutView="0" workbookViewId="0" topLeftCell="A1">
      <selection activeCell="I344" sqref="I344"/>
    </sheetView>
  </sheetViews>
  <sheetFormatPr defaultColWidth="9.140625" defaultRowHeight="12.75"/>
  <cols>
    <col min="1" max="1" width="56.28125" style="0" customWidth="1"/>
    <col min="2" max="12" width="11.7109375" style="0" customWidth="1"/>
    <col min="13" max="13" width="14.00390625" style="0" bestFit="1" customWidth="1"/>
    <col min="14" max="15" width="11.7109375" style="0" bestFit="1" customWidth="1"/>
    <col min="16" max="16" width="12.7109375" style="0" customWidth="1"/>
    <col min="17" max="17" width="11.28125" style="0" customWidth="1"/>
    <col min="18" max="30" width="11.28125" style="0" bestFit="1" customWidth="1"/>
    <col min="31" max="31" width="12.57421875" style="0" customWidth="1"/>
    <col min="32" max="43" width="11.28125" style="0" bestFit="1" customWidth="1"/>
    <col min="44" max="44" width="14.00390625" style="0" bestFit="1" customWidth="1"/>
    <col min="45" max="45" width="13.28125" style="0" customWidth="1"/>
    <col min="46" max="46" width="12.57421875" style="0" customWidth="1"/>
    <col min="57" max="57" width="13.00390625" style="0" customWidth="1"/>
  </cols>
  <sheetData>
    <row r="1" ht="20.25">
      <c r="A1" s="81"/>
    </row>
    <row r="3" ht="13.5" thickBot="1"/>
    <row r="4" spans="1:8" ht="12.75">
      <c r="A4" s="102" t="s">
        <v>173</v>
      </c>
      <c r="B4" s="49"/>
      <c r="C4" s="49"/>
      <c r="D4" s="49"/>
      <c r="E4" s="49"/>
      <c r="F4" s="49"/>
      <c r="G4" s="49"/>
      <c r="H4" s="50"/>
    </row>
    <row r="5" spans="1:8" ht="13.5" thickBot="1">
      <c r="A5" s="51" t="s">
        <v>134</v>
      </c>
      <c r="B5" s="52"/>
      <c r="C5" s="52"/>
      <c r="D5" s="52"/>
      <c r="E5" s="52"/>
      <c r="F5" s="52"/>
      <c r="G5" s="52"/>
      <c r="H5" s="53"/>
    </row>
    <row r="6" spans="1:8" ht="12.75">
      <c r="A6" s="103" t="s">
        <v>174</v>
      </c>
      <c r="B6" s="54"/>
      <c r="C6" s="54"/>
      <c r="D6" s="54"/>
      <c r="E6" s="54"/>
      <c r="F6" s="54"/>
      <c r="G6" s="54"/>
      <c r="H6" s="55"/>
    </row>
    <row r="7" spans="1:8" ht="13.5" thickBot="1">
      <c r="A7" s="56" t="s">
        <v>170</v>
      </c>
      <c r="B7" s="42"/>
      <c r="C7" s="42"/>
      <c r="D7" s="42"/>
      <c r="E7" s="42"/>
      <c r="F7" s="42"/>
      <c r="G7" s="42"/>
      <c r="H7" s="57"/>
    </row>
    <row r="8" spans="1:8" ht="12.75">
      <c r="A8" s="104" t="s">
        <v>175</v>
      </c>
      <c r="B8" s="62"/>
      <c r="C8" s="62"/>
      <c r="D8" s="62"/>
      <c r="E8" s="62"/>
      <c r="F8" s="62"/>
      <c r="G8" s="62"/>
      <c r="H8" s="63"/>
    </row>
    <row r="9" spans="1:8" ht="13.5" thickBot="1">
      <c r="A9" s="64" t="s">
        <v>123</v>
      </c>
      <c r="B9" s="65"/>
      <c r="C9" s="65"/>
      <c r="D9" s="65"/>
      <c r="E9" s="65"/>
      <c r="F9" s="65"/>
      <c r="G9" s="65"/>
      <c r="H9" s="66"/>
    </row>
    <row r="10" spans="1:8" ht="12.75">
      <c r="A10" s="67" t="s">
        <v>125</v>
      </c>
      <c r="B10" s="68"/>
      <c r="C10" s="68"/>
      <c r="D10" s="68"/>
      <c r="E10" s="68"/>
      <c r="F10" s="68"/>
      <c r="G10" s="68"/>
      <c r="H10" s="69"/>
    </row>
    <row r="11" spans="1:8" ht="13.5" thickBot="1">
      <c r="A11" s="70" t="s">
        <v>135</v>
      </c>
      <c r="B11" s="71"/>
      <c r="C11" s="71"/>
      <c r="D11" s="71"/>
      <c r="E11" s="71"/>
      <c r="F11" s="71"/>
      <c r="G11" s="71"/>
      <c r="H11" s="72"/>
    </row>
    <row r="12" spans="1:8" ht="12.75">
      <c r="A12" s="73" t="s">
        <v>124</v>
      </c>
      <c r="B12" s="74"/>
      <c r="C12" s="74"/>
      <c r="D12" s="74"/>
      <c r="E12" s="74"/>
      <c r="F12" s="74"/>
      <c r="G12" s="74"/>
      <c r="H12" s="75"/>
    </row>
    <row r="13" spans="1:8" ht="13.5" thickBot="1">
      <c r="A13" s="76" t="s">
        <v>167</v>
      </c>
      <c r="B13" s="77"/>
      <c r="C13" s="77"/>
      <c r="D13" s="77"/>
      <c r="E13" s="77"/>
      <c r="F13" s="77"/>
      <c r="G13" s="77"/>
      <c r="H13" s="78"/>
    </row>
    <row r="14" spans="1:8" ht="12.75">
      <c r="A14" s="109" t="s">
        <v>176</v>
      </c>
      <c r="B14" s="79"/>
      <c r="C14" s="79"/>
      <c r="D14" s="79"/>
      <c r="E14" s="79"/>
      <c r="F14" s="79"/>
      <c r="G14" s="79"/>
      <c r="H14" s="80"/>
    </row>
    <row r="15" spans="1:9" ht="13.5" thickBot="1">
      <c r="A15" s="115" t="s">
        <v>177</v>
      </c>
      <c r="B15" s="116"/>
      <c r="C15" s="116"/>
      <c r="D15" s="116"/>
      <c r="E15" s="116"/>
      <c r="F15" s="116"/>
      <c r="G15" s="116"/>
      <c r="H15" s="117"/>
      <c r="I15" s="110"/>
    </row>
    <row r="16" spans="1:4" ht="20.25">
      <c r="A16" s="99"/>
      <c r="B16" s="100"/>
      <c r="C16" s="100"/>
      <c r="D16" s="100"/>
    </row>
    <row r="17" ht="20.25">
      <c r="A17" s="81"/>
    </row>
    <row r="18" ht="23.25">
      <c r="A18" s="26" t="s">
        <v>183</v>
      </c>
    </row>
    <row r="19" spans="1:32" ht="12.75">
      <c r="A19" s="35"/>
      <c r="B19" s="34" t="s">
        <v>169</v>
      </c>
      <c r="C19" s="34" t="s">
        <v>118</v>
      </c>
      <c r="D19" s="34" t="s">
        <v>118</v>
      </c>
      <c r="E19" s="34" t="s">
        <v>118</v>
      </c>
      <c r="F19" s="34" t="s">
        <v>118</v>
      </c>
      <c r="G19" s="34" t="s">
        <v>118</v>
      </c>
      <c r="H19" s="34" t="s">
        <v>118</v>
      </c>
      <c r="I19" s="34" t="s">
        <v>118</v>
      </c>
      <c r="J19" s="34" t="s">
        <v>118</v>
      </c>
      <c r="K19" s="34" t="s">
        <v>118</v>
      </c>
      <c r="L19" s="34" t="s">
        <v>118</v>
      </c>
      <c r="M19" s="34" t="s">
        <v>118</v>
      </c>
      <c r="N19" s="34" t="s">
        <v>118</v>
      </c>
      <c r="O19" s="34" t="s">
        <v>118</v>
      </c>
      <c r="P19" s="34" t="s">
        <v>118</v>
      </c>
      <c r="Q19" s="34" t="s">
        <v>118</v>
      </c>
      <c r="R19" s="34" t="s">
        <v>118</v>
      </c>
      <c r="S19" s="34" t="s">
        <v>118</v>
      </c>
      <c r="T19" s="34" t="s">
        <v>118</v>
      </c>
      <c r="U19" s="34" t="s">
        <v>118</v>
      </c>
      <c r="V19" s="34" t="s">
        <v>118</v>
      </c>
      <c r="W19" s="34" t="s">
        <v>118</v>
      </c>
      <c r="X19" s="34" t="s">
        <v>118</v>
      </c>
      <c r="Y19" s="34" t="s">
        <v>118</v>
      </c>
      <c r="Z19" s="34" t="s">
        <v>118</v>
      </c>
      <c r="AA19" s="34" t="s">
        <v>118</v>
      </c>
      <c r="AB19" s="34" t="s">
        <v>118</v>
      </c>
      <c r="AC19" s="34" t="s">
        <v>118</v>
      </c>
      <c r="AD19" s="34" t="s">
        <v>118</v>
      </c>
      <c r="AE19" s="34" t="s">
        <v>118</v>
      </c>
      <c r="AF19" s="34" t="s">
        <v>118</v>
      </c>
    </row>
    <row r="20" spans="1:32" ht="12.75">
      <c r="A20" s="35" t="s">
        <v>46</v>
      </c>
      <c r="B20" s="35">
        <v>2008</v>
      </c>
      <c r="C20" s="35">
        <v>2009</v>
      </c>
      <c r="D20" s="35">
        <f aca="true" t="shared" si="0" ref="D20:AE20">+C20+1</f>
        <v>2010</v>
      </c>
      <c r="E20" s="35">
        <f t="shared" si="0"/>
        <v>2011</v>
      </c>
      <c r="F20" s="35">
        <f t="shared" si="0"/>
        <v>2012</v>
      </c>
      <c r="G20" s="35">
        <f t="shared" si="0"/>
        <v>2013</v>
      </c>
      <c r="H20" s="35">
        <f t="shared" si="0"/>
        <v>2014</v>
      </c>
      <c r="I20" s="35">
        <f t="shared" si="0"/>
        <v>2015</v>
      </c>
      <c r="J20" s="35">
        <f t="shared" si="0"/>
        <v>2016</v>
      </c>
      <c r="K20" s="35">
        <f t="shared" si="0"/>
        <v>2017</v>
      </c>
      <c r="L20" s="35">
        <f t="shared" si="0"/>
        <v>2018</v>
      </c>
      <c r="M20" s="35">
        <f t="shared" si="0"/>
        <v>2019</v>
      </c>
      <c r="N20" s="35">
        <f t="shared" si="0"/>
        <v>2020</v>
      </c>
      <c r="O20" s="35">
        <f t="shared" si="0"/>
        <v>2021</v>
      </c>
      <c r="P20" s="35">
        <f t="shared" si="0"/>
        <v>2022</v>
      </c>
      <c r="Q20" s="35">
        <f t="shared" si="0"/>
        <v>2023</v>
      </c>
      <c r="R20" s="35">
        <f t="shared" si="0"/>
        <v>2024</v>
      </c>
      <c r="S20" s="35">
        <f t="shared" si="0"/>
        <v>2025</v>
      </c>
      <c r="T20" s="35">
        <f t="shared" si="0"/>
        <v>2026</v>
      </c>
      <c r="U20" s="35">
        <f t="shared" si="0"/>
        <v>2027</v>
      </c>
      <c r="V20" s="35">
        <f t="shared" si="0"/>
        <v>2028</v>
      </c>
      <c r="W20" s="35">
        <f t="shared" si="0"/>
        <v>2029</v>
      </c>
      <c r="X20" s="35">
        <f t="shared" si="0"/>
        <v>2030</v>
      </c>
      <c r="Y20" s="35">
        <f t="shared" si="0"/>
        <v>2031</v>
      </c>
      <c r="Z20" s="35">
        <f t="shared" si="0"/>
        <v>2032</v>
      </c>
      <c r="AA20" s="35">
        <f t="shared" si="0"/>
        <v>2033</v>
      </c>
      <c r="AB20" s="35">
        <f t="shared" si="0"/>
        <v>2034</v>
      </c>
      <c r="AC20" s="35">
        <f t="shared" si="0"/>
        <v>2035</v>
      </c>
      <c r="AD20" s="35">
        <f t="shared" si="0"/>
        <v>2036</v>
      </c>
      <c r="AE20" s="35">
        <f t="shared" si="0"/>
        <v>2037</v>
      </c>
      <c r="AF20" s="35">
        <f>+AE20+1</f>
        <v>2038</v>
      </c>
    </row>
    <row r="21" spans="1:32" ht="15.75">
      <c r="A21" s="91" t="s">
        <v>126</v>
      </c>
      <c r="B21" s="36"/>
      <c r="C21" s="36">
        <v>0.06</v>
      </c>
      <c r="D21" s="36">
        <v>0.06</v>
      </c>
      <c r="E21" s="36">
        <v>0.06</v>
      </c>
      <c r="F21" s="36">
        <v>0.06</v>
      </c>
      <c r="G21" s="36">
        <v>0.06</v>
      </c>
      <c r="H21" s="36">
        <v>0.06</v>
      </c>
      <c r="I21" s="36">
        <v>0.06</v>
      </c>
      <c r="J21" s="36">
        <v>0.06</v>
      </c>
      <c r="K21" s="36">
        <v>0.06</v>
      </c>
      <c r="L21" s="37">
        <v>0.06</v>
      </c>
      <c r="M21" s="37">
        <v>0.06</v>
      </c>
      <c r="N21" s="37">
        <v>0.06</v>
      </c>
      <c r="O21" s="37">
        <v>0.06</v>
      </c>
      <c r="P21" s="37">
        <v>0.06</v>
      </c>
      <c r="Q21" s="37">
        <v>0.04</v>
      </c>
      <c r="R21" s="37">
        <v>0.04</v>
      </c>
      <c r="S21" s="37">
        <v>0.04</v>
      </c>
      <c r="T21" s="37">
        <v>0.04</v>
      </c>
      <c r="U21" s="37">
        <v>0.04</v>
      </c>
      <c r="V21" s="37">
        <v>0.04</v>
      </c>
      <c r="W21" s="37">
        <v>0.04</v>
      </c>
      <c r="X21" s="37">
        <v>0.04</v>
      </c>
      <c r="Y21" s="37">
        <v>0.04</v>
      </c>
      <c r="Z21" s="37">
        <v>0.04</v>
      </c>
      <c r="AA21" s="37">
        <v>0.04</v>
      </c>
      <c r="AB21" s="37">
        <v>0.04</v>
      </c>
      <c r="AC21" s="37">
        <v>0.04</v>
      </c>
      <c r="AD21" s="37">
        <v>0.04</v>
      </c>
      <c r="AE21" s="37">
        <v>0.04</v>
      </c>
      <c r="AF21" s="37">
        <v>0.04</v>
      </c>
    </row>
    <row r="22" spans="1:32" ht="12.75">
      <c r="A22" s="91" t="s">
        <v>127</v>
      </c>
      <c r="B22" s="38"/>
      <c r="C22" s="38">
        <v>0.66</v>
      </c>
      <c r="D22" s="38">
        <v>0.66</v>
      </c>
      <c r="E22" s="38">
        <v>0.66</v>
      </c>
      <c r="F22" s="38">
        <v>0.66</v>
      </c>
      <c r="G22" s="38">
        <v>0.66</v>
      </c>
      <c r="H22" s="38">
        <v>0.66</v>
      </c>
      <c r="I22" s="38">
        <v>0.66</v>
      </c>
      <c r="J22" s="38">
        <v>0.66</v>
      </c>
      <c r="K22" s="38">
        <v>0.66</v>
      </c>
      <c r="L22" s="38">
        <v>0.66</v>
      </c>
      <c r="M22" s="38">
        <v>0.66</v>
      </c>
      <c r="N22" s="38">
        <v>0.66</v>
      </c>
      <c r="O22" s="38">
        <v>0.66</v>
      </c>
      <c r="P22" s="38">
        <v>0.66</v>
      </c>
      <c r="Q22" s="38">
        <v>0.66</v>
      </c>
      <c r="R22" s="38">
        <v>0.66</v>
      </c>
      <c r="S22" s="38">
        <v>0.66</v>
      </c>
      <c r="T22" s="38">
        <v>0.66</v>
      </c>
      <c r="U22" s="38">
        <v>0.66</v>
      </c>
      <c r="V22" s="38">
        <v>0.66</v>
      </c>
      <c r="W22" s="38">
        <v>0.66</v>
      </c>
      <c r="X22" s="38">
        <v>0.66</v>
      </c>
      <c r="Y22" s="38">
        <v>0.66</v>
      </c>
      <c r="Z22" s="38">
        <v>0.66</v>
      </c>
      <c r="AA22" s="38">
        <v>0.66</v>
      </c>
      <c r="AB22" s="38">
        <v>0.66</v>
      </c>
      <c r="AC22" s="38">
        <v>0.66</v>
      </c>
      <c r="AD22" s="38">
        <v>0.66</v>
      </c>
      <c r="AE22" s="38">
        <v>0.66</v>
      </c>
      <c r="AF22" s="38">
        <v>0.66</v>
      </c>
    </row>
    <row r="23" spans="1:32" ht="12.75">
      <c r="A23" s="91" t="s">
        <v>128</v>
      </c>
      <c r="B23" s="38"/>
      <c r="C23" s="38">
        <v>0.18</v>
      </c>
      <c r="D23" s="38">
        <f>+C23</f>
        <v>0.18</v>
      </c>
      <c r="E23" s="38">
        <f aca="true" t="shared" si="1" ref="E23:AF23">+D23</f>
        <v>0.18</v>
      </c>
      <c r="F23" s="38">
        <f t="shared" si="1"/>
        <v>0.18</v>
      </c>
      <c r="G23" s="38">
        <f t="shared" si="1"/>
        <v>0.18</v>
      </c>
      <c r="H23" s="38">
        <f t="shared" si="1"/>
        <v>0.18</v>
      </c>
      <c r="I23" s="38">
        <f t="shared" si="1"/>
        <v>0.18</v>
      </c>
      <c r="J23" s="38">
        <f t="shared" si="1"/>
        <v>0.18</v>
      </c>
      <c r="K23" s="38">
        <f t="shared" si="1"/>
        <v>0.18</v>
      </c>
      <c r="L23" s="38">
        <f t="shared" si="1"/>
        <v>0.18</v>
      </c>
      <c r="M23" s="38">
        <f t="shared" si="1"/>
        <v>0.18</v>
      </c>
      <c r="N23" s="38">
        <f t="shared" si="1"/>
        <v>0.18</v>
      </c>
      <c r="O23" s="38">
        <f t="shared" si="1"/>
        <v>0.18</v>
      </c>
      <c r="P23" s="38">
        <f t="shared" si="1"/>
        <v>0.18</v>
      </c>
      <c r="Q23" s="38">
        <f t="shared" si="1"/>
        <v>0.18</v>
      </c>
      <c r="R23" s="38">
        <f t="shared" si="1"/>
        <v>0.18</v>
      </c>
      <c r="S23" s="38">
        <f t="shared" si="1"/>
        <v>0.18</v>
      </c>
      <c r="T23" s="38">
        <f t="shared" si="1"/>
        <v>0.18</v>
      </c>
      <c r="U23" s="38">
        <f t="shared" si="1"/>
        <v>0.18</v>
      </c>
      <c r="V23" s="38">
        <f t="shared" si="1"/>
        <v>0.18</v>
      </c>
      <c r="W23" s="38">
        <f t="shared" si="1"/>
        <v>0.18</v>
      </c>
      <c r="X23" s="38">
        <f t="shared" si="1"/>
        <v>0.18</v>
      </c>
      <c r="Y23" s="38">
        <f t="shared" si="1"/>
        <v>0.18</v>
      </c>
      <c r="Z23" s="38">
        <f t="shared" si="1"/>
        <v>0.18</v>
      </c>
      <c r="AA23" s="38">
        <f t="shared" si="1"/>
        <v>0.18</v>
      </c>
      <c r="AB23" s="38">
        <f t="shared" si="1"/>
        <v>0.18</v>
      </c>
      <c r="AC23" s="38">
        <f t="shared" si="1"/>
        <v>0.18</v>
      </c>
      <c r="AD23" s="38">
        <f t="shared" si="1"/>
        <v>0.18</v>
      </c>
      <c r="AE23" s="38">
        <f t="shared" si="1"/>
        <v>0.18</v>
      </c>
      <c r="AF23" s="38">
        <f t="shared" si="1"/>
        <v>0.18</v>
      </c>
    </row>
    <row r="24" spans="1:32" ht="12.75">
      <c r="A24" s="118" t="s">
        <v>178</v>
      </c>
      <c r="B24" s="38"/>
      <c r="C24" s="38">
        <v>0.19</v>
      </c>
      <c r="D24" s="38">
        <v>0.19</v>
      </c>
      <c r="E24" s="38">
        <v>0.19</v>
      </c>
      <c r="F24" s="38">
        <v>0.19</v>
      </c>
      <c r="G24" s="38">
        <v>0.19</v>
      </c>
      <c r="H24" s="38">
        <v>0.19</v>
      </c>
      <c r="I24" s="38">
        <v>0.19</v>
      </c>
      <c r="J24" s="38">
        <v>0.19</v>
      </c>
      <c r="K24" s="38">
        <v>0.19</v>
      </c>
      <c r="L24" s="38">
        <v>0.19</v>
      </c>
      <c r="M24" s="38">
        <v>0.19</v>
      </c>
      <c r="N24" s="38">
        <v>0.19</v>
      </c>
      <c r="O24" s="38">
        <v>0.19</v>
      </c>
      <c r="P24" s="38">
        <v>0.19</v>
      </c>
      <c r="Q24" s="38">
        <v>0.19</v>
      </c>
      <c r="R24" s="38">
        <v>0.19</v>
      </c>
      <c r="S24" s="38">
        <v>0.19</v>
      </c>
      <c r="T24" s="38">
        <v>0.19</v>
      </c>
      <c r="U24" s="38">
        <v>0.19</v>
      </c>
      <c r="V24" s="38">
        <v>0.19</v>
      </c>
      <c r="W24" s="38">
        <v>0.19</v>
      </c>
      <c r="X24" s="38">
        <v>0.19</v>
      </c>
      <c r="Y24" s="38">
        <v>0.19</v>
      </c>
      <c r="Z24" s="38">
        <v>0.19</v>
      </c>
      <c r="AA24" s="38">
        <v>0.19</v>
      </c>
      <c r="AB24" s="38">
        <v>0.19</v>
      </c>
      <c r="AC24" s="38">
        <v>0.19</v>
      </c>
      <c r="AD24" s="38">
        <v>0.19</v>
      </c>
      <c r="AE24" s="38">
        <v>0.19</v>
      </c>
      <c r="AF24" s="38">
        <v>0.19</v>
      </c>
    </row>
    <row r="25" spans="1:32" ht="12.75">
      <c r="A25" s="91" t="s">
        <v>129</v>
      </c>
      <c r="B25" s="38"/>
      <c r="C25" s="38">
        <v>0.35</v>
      </c>
      <c r="D25" s="38">
        <v>0.35</v>
      </c>
      <c r="E25" s="38">
        <v>0.35</v>
      </c>
      <c r="F25" s="38">
        <v>0.35</v>
      </c>
      <c r="G25" s="38">
        <v>0.35</v>
      </c>
      <c r="H25" s="38">
        <v>0.35</v>
      </c>
      <c r="I25" s="38">
        <v>0.35</v>
      </c>
      <c r="J25" s="38">
        <v>0.35</v>
      </c>
      <c r="K25" s="38">
        <v>0.35</v>
      </c>
      <c r="L25" s="38">
        <v>0.35</v>
      </c>
      <c r="M25" s="38">
        <v>0.35</v>
      </c>
      <c r="N25" s="38">
        <v>0.35</v>
      </c>
      <c r="O25" s="38">
        <v>0.35</v>
      </c>
      <c r="P25" s="38">
        <v>0.35</v>
      </c>
      <c r="Q25" s="38">
        <v>0.35</v>
      </c>
      <c r="R25" s="38">
        <v>0.35</v>
      </c>
      <c r="S25" s="38">
        <v>0.35</v>
      </c>
      <c r="T25" s="38">
        <v>0.35</v>
      </c>
      <c r="U25" s="38">
        <v>0.35</v>
      </c>
      <c r="V25" s="38">
        <v>0.35</v>
      </c>
      <c r="W25" s="38">
        <v>0.35</v>
      </c>
      <c r="X25" s="38">
        <v>0.35</v>
      </c>
      <c r="Y25" s="38">
        <v>0.35</v>
      </c>
      <c r="Z25" s="38">
        <v>0.35</v>
      </c>
      <c r="AA25" s="38">
        <v>0.35</v>
      </c>
      <c r="AB25" s="38">
        <v>0.35</v>
      </c>
      <c r="AC25" s="38">
        <v>0.35</v>
      </c>
      <c r="AD25" s="38">
        <v>0.35</v>
      </c>
      <c r="AE25" s="38">
        <v>0.35</v>
      </c>
      <c r="AF25" s="38">
        <v>0.35</v>
      </c>
    </row>
    <row r="26" spans="1:32" ht="12.75">
      <c r="A26" s="9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ht="12.75">
      <c r="A27" s="91" t="s">
        <v>130</v>
      </c>
      <c r="B27" s="38"/>
      <c r="C27" s="38">
        <v>0.065</v>
      </c>
      <c r="D27" s="38">
        <v>0.067</v>
      </c>
      <c r="E27" s="38">
        <v>0.069</v>
      </c>
      <c r="F27" s="38">
        <v>0.07</v>
      </c>
      <c r="G27" s="38">
        <f>+F27</f>
        <v>0.07</v>
      </c>
      <c r="H27" s="38">
        <f aca="true" t="shared" si="2" ref="H27:AF27">+G27</f>
        <v>0.07</v>
      </c>
      <c r="I27" s="38">
        <f t="shared" si="2"/>
        <v>0.07</v>
      </c>
      <c r="J27" s="38">
        <f t="shared" si="2"/>
        <v>0.07</v>
      </c>
      <c r="K27" s="38">
        <f t="shared" si="2"/>
        <v>0.07</v>
      </c>
      <c r="L27" s="38">
        <f t="shared" si="2"/>
        <v>0.07</v>
      </c>
      <c r="M27" s="38">
        <f t="shared" si="2"/>
        <v>0.07</v>
      </c>
      <c r="N27" s="38">
        <f t="shared" si="2"/>
        <v>0.07</v>
      </c>
      <c r="O27" s="38">
        <f t="shared" si="2"/>
        <v>0.07</v>
      </c>
      <c r="P27" s="38">
        <f t="shared" si="2"/>
        <v>0.07</v>
      </c>
      <c r="Q27" s="38">
        <f t="shared" si="2"/>
        <v>0.07</v>
      </c>
      <c r="R27" s="38">
        <f t="shared" si="2"/>
        <v>0.07</v>
      </c>
      <c r="S27" s="38">
        <f t="shared" si="2"/>
        <v>0.07</v>
      </c>
      <c r="T27" s="38">
        <f t="shared" si="2"/>
        <v>0.07</v>
      </c>
      <c r="U27" s="38">
        <f t="shared" si="2"/>
        <v>0.07</v>
      </c>
      <c r="V27" s="38">
        <f t="shared" si="2"/>
        <v>0.07</v>
      </c>
      <c r="W27" s="38">
        <f t="shared" si="2"/>
        <v>0.07</v>
      </c>
      <c r="X27" s="38">
        <f t="shared" si="2"/>
        <v>0.07</v>
      </c>
      <c r="Y27" s="38">
        <f t="shared" si="2"/>
        <v>0.07</v>
      </c>
      <c r="Z27" s="38">
        <f t="shared" si="2"/>
        <v>0.07</v>
      </c>
      <c r="AA27" s="38">
        <f t="shared" si="2"/>
        <v>0.07</v>
      </c>
      <c r="AB27" s="38">
        <f t="shared" si="2"/>
        <v>0.07</v>
      </c>
      <c r="AC27" s="38">
        <f t="shared" si="2"/>
        <v>0.07</v>
      </c>
      <c r="AD27" s="38">
        <f t="shared" si="2"/>
        <v>0.07</v>
      </c>
      <c r="AE27" s="38">
        <f t="shared" si="2"/>
        <v>0.07</v>
      </c>
      <c r="AF27" s="38">
        <f t="shared" si="2"/>
        <v>0.07</v>
      </c>
    </row>
    <row r="28" spans="1:32" ht="12.75">
      <c r="A28" s="91" t="s">
        <v>131</v>
      </c>
      <c r="B28" s="38"/>
      <c r="C28" s="38">
        <v>0.175</v>
      </c>
      <c r="D28" s="38">
        <v>0.177</v>
      </c>
      <c r="E28" s="38">
        <v>0.179</v>
      </c>
      <c r="F28" s="38">
        <v>0.181</v>
      </c>
      <c r="G28" s="38">
        <v>0.183</v>
      </c>
      <c r="H28" s="38">
        <v>0.185</v>
      </c>
      <c r="I28" s="38">
        <f>+H28</f>
        <v>0.185</v>
      </c>
      <c r="J28" s="38">
        <f aca="true" t="shared" si="3" ref="J28:AF28">+I28</f>
        <v>0.185</v>
      </c>
      <c r="K28" s="38">
        <f t="shared" si="3"/>
        <v>0.185</v>
      </c>
      <c r="L28" s="38">
        <f t="shared" si="3"/>
        <v>0.185</v>
      </c>
      <c r="M28" s="38">
        <f t="shared" si="3"/>
        <v>0.185</v>
      </c>
      <c r="N28" s="38">
        <f t="shared" si="3"/>
        <v>0.185</v>
      </c>
      <c r="O28" s="38">
        <f t="shared" si="3"/>
        <v>0.185</v>
      </c>
      <c r="P28" s="38">
        <f t="shared" si="3"/>
        <v>0.185</v>
      </c>
      <c r="Q28" s="38">
        <f t="shared" si="3"/>
        <v>0.185</v>
      </c>
      <c r="R28" s="38">
        <f t="shared" si="3"/>
        <v>0.185</v>
      </c>
      <c r="S28" s="38">
        <f t="shared" si="3"/>
        <v>0.185</v>
      </c>
      <c r="T28" s="38">
        <f t="shared" si="3"/>
        <v>0.185</v>
      </c>
      <c r="U28" s="38">
        <f t="shared" si="3"/>
        <v>0.185</v>
      </c>
      <c r="V28" s="38">
        <f t="shared" si="3"/>
        <v>0.185</v>
      </c>
      <c r="W28" s="38">
        <f t="shared" si="3"/>
        <v>0.185</v>
      </c>
      <c r="X28" s="38">
        <f t="shared" si="3"/>
        <v>0.185</v>
      </c>
      <c r="Y28" s="38">
        <f t="shared" si="3"/>
        <v>0.185</v>
      </c>
      <c r="Z28" s="38">
        <f t="shared" si="3"/>
        <v>0.185</v>
      </c>
      <c r="AA28" s="38">
        <f t="shared" si="3"/>
        <v>0.185</v>
      </c>
      <c r="AB28" s="38">
        <f t="shared" si="3"/>
        <v>0.185</v>
      </c>
      <c r="AC28" s="38">
        <f t="shared" si="3"/>
        <v>0.185</v>
      </c>
      <c r="AD28" s="38">
        <f t="shared" si="3"/>
        <v>0.185</v>
      </c>
      <c r="AE28" s="38">
        <f t="shared" si="3"/>
        <v>0.185</v>
      </c>
      <c r="AF28" s="38">
        <f t="shared" si="3"/>
        <v>0.185</v>
      </c>
    </row>
    <row r="29" spans="1:32" ht="12.75">
      <c r="A29" s="91" t="s">
        <v>30</v>
      </c>
      <c r="B29" s="38"/>
      <c r="C29" s="38">
        <v>0.191</v>
      </c>
      <c r="D29" s="38">
        <v>0.195</v>
      </c>
      <c r="E29" s="38">
        <v>0.199</v>
      </c>
      <c r="F29" s="38">
        <v>0.204</v>
      </c>
      <c r="G29" s="38">
        <v>0.209</v>
      </c>
      <c r="H29" s="38">
        <v>0.215</v>
      </c>
      <c r="I29" s="38">
        <v>0.22</v>
      </c>
      <c r="J29" s="38">
        <v>0.225</v>
      </c>
      <c r="K29" s="38">
        <f>+J29</f>
        <v>0.225</v>
      </c>
      <c r="L29" s="38">
        <f aca="true" t="shared" si="4" ref="L29:AF29">+K29</f>
        <v>0.225</v>
      </c>
      <c r="M29" s="38">
        <f t="shared" si="4"/>
        <v>0.225</v>
      </c>
      <c r="N29" s="38">
        <f t="shared" si="4"/>
        <v>0.225</v>
      </c>
      <c r="O29" s="38">
        <f t="shared" si="4"/>
        <v>0.225</v>
      </c>
      <c r="P29" s="38">
        <f t="shared" si="4"/>
        <v>0.225</v>
      </c>
      <c r="Q29" s="38">
        <f t="shared" si="4"/>
        <v>0.225</v>
      </c>
      <c r="R29" s="38">
        <f t="shared" si="4"/>
        <v>0.225</v>
      </c>
      <c r="S29" s="38">
        <f t="shared" si="4"/>
        <v>0.225</v>
      </c>
      <c r="T29" s="38">
        <f t="shared" si="4"/>
        <v>0.225</v>
      </c>
      <c r="U29" s="38">
        <f t="shared" si="4"/>
        <v>0.225</v>
      </c>
      <c r="V29" s="38">
        <f t="shared" si="4"/>
        <v>0.225</v>
      </c>
      <c r="W29" s="38">
        <f t="shared" si="4"/>
        <v>0.225</v>
      </c>
      <c r="X29" s="38">
        <f t="shared" si="4"/>
        <v>0.225</v>
      </c>
      <c r="Y29" s="38">
        <f t="shared" si="4"/>
        <v>0.225</v>
      </c>
      <c r="Z29" s="38">
        <f t="shared" si="4"/>
        <v>0.225</v>
      </c>
      <c r="AA29" s="38">
        <f t="shared" si="4"/>
        <v>0.225</v>
      </c>
      <c r="AB29" s="38">
        <f t="shared" si="4"/>
        <v>0.225</v>
      </c>
      <c r="AC29" s="38">
        <f t="shared" si="4"/>
        <v>0.225</v>
      </c>
      <c r="AD29" s="38">
        <f t="shared" si="4"/>
        <v>0.225</v>
      </c>
      <c r="AE29" s="38">
        <f t="shared" si="4"/>
        <v>0.225</v>
      </c>
      <c r="AF29" s="38">
        <f t="shared" si="4"/>
        <v>0.225</v>
      </c>
    </row>
    <row r="30" spans="1:32" ht="12.75">
      <c r="A30" s="91" t="s">
        <v>132</v>
      </c>
      <c r="B30" s="38"/>
      <c r="C30" s="38">
        <v>0.147</v>
      </c>
      <c r="D30" s="38">
        <v>0.152</v>
      </c>
      <c r="E30" s="38">
        <v>0.157</v>
      </c>
      <c r="F30" s="38">
        <v>0.162</v>
      </c>
      <c r="G30" s="38">
        <v>0.167</v>
      </c>
      <c r="H30" s="38">
        <v>0.172</v>
      </c>
      <c r="I30" s="38">
        <v>0.177</v>
      </c>
      <c r="J30" s="38">
        <v>0.183</v>
      </c>
      <c r="K30" s="38">
        <v>0.183</v>
      </c>
      <c r="L30" s="38">
        <v>0.183</v>
      </c>
      <c r="M30" s="38">
        <v>0.183</v>
      </c>
      <c r="N30" s="38">
        <v>0.183</v>
      </c>
      <c r="O30" s="38">
        <v>0.183</v>
      </c>
      <c r="P30" s="38">
        <v>0.183</v>
      </c>
      <c r="Q30" s="38">
        <v>0.183</v>
      </c>
      <c r="R30" s="38">
        <v>0.183</v>
      </c>
      <c r="S30" s="38">
        <v>0.183</v>
      </c>
      <c r="T30" s="38">
        <v>0.183</v>
      </c>
      <c r="U30" s="38">
        <v>0.183</v>
      </c>
      <c r="V30" s="38">
        <v>0.183</v>
      </c>
      <c r="W30" s="38">
        <v>0.183</v>
      </c>
      <c r="X30" s="38">
        <v>0.183</v>
      </c>
      <c r="Y30" s="38">
        <v>0.183</v>
      </c>
      <c r="Z30" s="38">
        <v>0.183</v>
      </c>
      <c r="AA30" s="38">
        <v>0.183</v>
      </c>
      <c r="AB30" s="38">
        <v>0.183</v>
      </c>
      <c r="AC30" s="38">
        <v>0.183</v>
      </c>
      <c r="AD30" s="38">
        <v>0.183</v>
      </c>
      <c r="AE30" s="38">
        <v>0.183</v>
      </c>
      <c r="AF30" s="38">
        <v>0.183</v>
      </c>
    </row>
    <row r="31" spans="1:32" ht="12.75">
      <c r="A31" s="91" t="s">
        <v>133</v>
      </c>
      <c r="B31" s="38"/>
      <c r="C31" s="38">
        <v>0.1425</v>
      </c>
      <c r="D31" s="38">
        <f>+C31+0.003</f>
        <v>0.1455</v>
      </c>
      <c r="E31" s="38">
        <f>+D31+0.003</f>
        <v>0.1485</v>
      </c>
      <c r="F31" s="38">
        <f>+E31+0.003</f>
        <v>0.1515</v>
      </c>
      <c r="G31" s="38">
        <f>++F31</f>
        <v>0.1515</v>
      </c>
      <c r="H31" s="38">
        <f aca="true" t="shared" si="5" ref="H31:AF31">++G31</f>
        <v>0.1515</v>
      </c>
      <c r="I31" s="38">
        <f t="shared" si="5"/>
        <v>0.1515</v>
      </c>
      <c r="J31" s="38">
        <f t="shared" si="5"/>
        <v>0.1515</v>
      </c>
      <c r="K31" s="38">
        <f t="shared" si="5"/>
        <v>0.1515</v>
      </c>
      <c r="L31" s="38">
        <f t="shared" si="5"/>
        <v>0.1515</v>
      </c>
      <c r="M31" s="38">
        <f t="shared" si="5"/>
        <v>0.1515</v>
      </c>
      <c r="N31" s="38">
        <f t="shared" si="5"/>
        <v>0.1515</v>
      </c>
      <c r="O31" s="38">
        <f t="shared" si="5"/>
        <v>0.1515</v>
      </c>
      <c r="P31" s="38">
        <f t="shared" si="5"/>
        <v>0.1515</v>
      </c>
      <c r="Q31" s="38">
        <f t="shared" si="5"/>
        <v>0.1515</v>
      </c>
      <c r="R31" s="38">
        <f t="shared" si="5"/>
        <v>0.1515</v>
      </c>
      <c r="S31" s="38">
        <f t="shared" si="5"/>
        <v>0.1515</v>
      </c>
      <c r="T31" s="38">
        <f t="shared" si="5"/>
        <v>0.1515</v>
      </c>
      <c r="U31" s="38">
        <f t="shared" si="5"/>
        <v>0.1515</v>
      </c>
      <c r="V31" s="38">
        <f t="shared" si="5"/>
        <v>0.1515</v>
      </c>
      <c r="W31" s="38">
        <f t="shared" si="5"/>
        <v>0.1515</v>
      </c>
      <c r="X31" s="38">
        <f t="shared" si="5"/>
        <v>0.1515</v>
      </c>
      <c r="Y31" s="38">
        <f t="shared" si="5"/>
        <v>0.1515</v>
      </c>
      <c r="Z31" s="38">
        <f t="shared" si="5"/>
        <v>0.1515</v>
      </c>
      <c r="AA31" s="38">
        <f t="shared" si="5"/>
        <v>0.1515</v>
      </c>
      <c r="AB31" s="38">
        <f t="shared" si="5"/>
        <v>0.1515</v>
      </c>
      <c r="AC31" s="38">
        <f t="shared" si="5"/>
        <v>0.1515</v>
      </c>
      <c r="AD31" s="38">
        <f t="shared" si="5"/>
        <v>0.1515</v>
      </c>
      <c r="AE31" s="38">
        <f t="shared" si="5"/>
        <v>0.1515</v>
      </c>
      <c r="AF31" s="38">
        <f t="shared" si="5"/>
        <v>0.1515</v>
      </c>
    </row>
    <row r="34" ht="23.25">
      <c r="A34" s="26" t="s">
        <v>182</v>
      </c>
    </row>
    <row r="35" spans="1:32" ht="13.5" thickBot="1">
      <c r="A35" s="87" t="s">
        <v>89</v>
      </c>
      <c r="B35" s="88">
        <f>+B20</f>
        <v>2008</v>
      </c>
      <c r="C35" s="88">
        <f>+B35+1</f>
        <v>2009</v>
      </c>
      <c r="D35" s="88">
        <f aca="true" t="shared" si="6" ref="D35:AE35">+C35+1</f>
        <v>2010</v>
      </c>
      <c r="E35" s="88">
        <f t="shared" si="6"/>
        <v>2011</v>
      </c>
      <c r="F35" s="88">
        <f t="shared" si="6"/>
        <v>2012</v>
      </c>
      <c r="G35" s="88">
        <f t="shared" si="6"/>
        <v>2013</v>
      </c>
      <c r="H35" s="88">
        <f t="shared" si="6"/>
        <v>2014</v>
      </c>
      <c r="I35" s="88">
        <f t="shared" si="6"/>
        <v>2015</v>
      </c>
      <c r="J35" s="88">
        <f t="shared" si="6"/>
        <v>2016</v>
      </c>
      <c r="K35" s="88">
        <f t="shared" si="6"/>
        <v>2017</v>
      </c>
      <c r="L35" s="88">
        <f t="shared" si="6"/>
        <v>2018</v>
      </c>
      <c r="M35" s="88">
        <f t="shared" si="6"/>
        <v>2019</v>
      </c>
      <c r="N35" s="88">
        <f t="shared" si="6"/>
        <v>2020</v>
      </c>
      <c r="O35" s="88">
        <f t="shared" si="6"/>
        <v>2021</v>
      </c>
      <c r="P35" s="88">
        <f t="shared" si="6"/>
        <v>2022</v>
      </c>
      <c r="Q35" s="88">
        <f t="shared" si="6"/>
        <v>2023</v>
      </c>
      <c r="R35" s="88">
        <f t="shared" si="6"/>
        <v>2024</v>
      </c>
      <c r="S35" s="88">
        <f t="shared" si="6"/>
        <v>2025</v>
      </c>
      <c r="T35" s="88">
        <f t="shared" si="6"/>
        <v>2026</v>
      </c>
      <c r="U35" s="88">
        <f t="shared" si="6"/>
        <v>2027</v>
      </c>
      <c r="V35" s="88">
        <f t="shared" si="6"/>
        <v>2028</v>
      </c>
      <c r="W35" s="88">
        <f t="shared" si="6"/>
        <v>2029</v>
      </c>
      <c r="X35" s="88">
        <f t="shared" si="6"/>
        <v>2030</v>
      </c>
      <c r="Y35" s="88">
        <f t="shared" si="6"/>
        <v>2031</v>
      </c>
      <c r="Z35" s="88">
        <f t="shared" si="6"/>
        <v>2032</v>
      </c>
      <c r="AA35" s="88">
        <f t="shared" si="6"/>
        <v>2033</v>
      </c>
      <c r="AB35" s="88">
        <f t="shared" si="6"/>
        <v>2034</v>
      </c>
      <c r="AC35" s="88">
        <f t="shared" si="6"/>
        <v>2035</v>
      </c>
      <c r="AD35" s="88">
        <f t="shared" si="6"/>
        <v>2036</v>
      </c>
      <c r="AE35" s="88">
        <f t="shared" si="6"/>
        <v>2037</v>
      </c>
      <c r="AF35" s="88">
        <f>+AE35+1</f>
        <v>2038</v>
      </c>
    </row>
    <row r="36" spans="1:32" ht="12.75">
      <c r="A36" s="39" t="s">
        <v>0</v>
      </c>
      <c r="B36" s="40">
        <v>2018323</v>
      </c>
      <c r="C36" s="40">
        <f aca="true" t="shared" si="7" ref="C36:AF36">+B36*(1+C21)</f>
        <v>2139422.38</v>
      </c>
      <c r="D36" s="40">
        <f t="shared" si="7"/>
        <v>2267787.7228</v>
      </c>
      <c r="E36" s="40">
        <f t="shared" si="7"/>
        <v>2403854.9861680004</v>
      </c>
      <c r="F36" s="40">
        <f t="shared" si="7"/>
        <v>2548086.2853380805</v>
      </c>
      <c r="G36" s="40">
        <f t="shared" si="7"/>
        <v>2700971.4624583656</v>
      </c>
      <c r="H36" s="40">
        <f t="shared" si="7"/>
        <v>2863029.7502058675</v>
      </c>
      <c r="I36" s="40">
        <f t="shared" si="7"/>
        <v>3034811.5352182197</v>
      </c>
      <c r="J36" s="40">
        <f t="shared" si="7"/>
        <v>3216900.2273313133</v>
      </c>
      <c r="K36" s="40">
        <f t="shared" si="7"/>
        <v>3409914.2409711923</v>
      </c>
      <c r="L36" s="40">
        <f t="shared" si="7"/>
        <v>3614509.095429464</v>
      </c>
      <c r="M36" s="40">
        <f t="shared" si="7"/>
        <v>3831379.6411552317</v>
      </c>
      <c r="N36" s="40">
        <f t="shared" si="7"/>
        <v>4061262.419624546</v>
      </c>
      <c r="O36" s="40">
        <f t="shared" si="7"/>
        <v>4304938.1648020195</v>
      </c>
      <c r="P36" s="40">
        <f t="shared" si="7"/>
        <v>4563234.454690141</v>
      </c>
      <c r="Q36" s="40">
        <f t="shared" si="7"/>
        <v>4745763.832877747</v>
      </c>
      <c r="R36" s="40">
        <f t="shared" si="7"/>
        <v>4935594.386192857</v>
      </c>
      <c r="S36" s="40">
        <f t="shared" si="7"/>
        <v>5133018.161640571</v>
      </c>
      <c r="T36" s="40">
        <f t="shared" si="7"/>
        <v>5338338.888106194</v>
      </c>
      <c r="U36" s="40">
        <f t="shared" si="7"/>
        <v>5551872.443630442</v>
      </c>
      <c r="V36" s="40">
        <f t="shared" si="7"/>
        <v>5773947.34137566</v>
      </c>
      <c r="W36" s="40">
        <f t="shared" si="7"/>
        <v>6004905.2350306865</v>
      </c>
      <c r="X36" s="40">
        <f t="shared" si="7"/>
        <v>6245101.444431914</v>
      </c>
      <c r="Y36" s="40">
        <f t="shared" si="7"/>
        <v>6494905.502209191</v>
      </c>
      <c r="Z36" s="40">
        <f t="shared" si="7"/>
        <v>6754701.7222975595</v>
      </c>
      <c r="AA36" s="40">
        <f t="shared" si="7"/>
        <v>7024889.791189462</v>
      </c>
      <c r="AB36" s="40">
        <f t="shared" si="7"/>
        <v>7305885.38283704</v>
      </c>
      <c r="AC36" s="40">
        <f t="shared" si="7"/>
        <v>7598120.798150523</v>
      </c>
      <c r="AD36" s="40">
        <f t="shared" si="7"/>
        <v>7902045.630076543</v>
      </c>
      <c r="AE36" s="40">
        <f t="shared" si="7"/>
        <v>8218127.455279605</v>
      </c>
      <c r="AF36" s="40">
        <f t="shared" si="7"/>
        <v>8546852.55349079</v>
      </c>
    </row>
    <row r="37" spans="1:32" ht="12.75">
      <c r="A37" s="39" t="s">
        <v>2</v>
      </c>
      <c r="B37" s="40">
        <v>1380042</v>
      </c>
      <c r="C37" s="40">
        <f aca="true" t="shared" si="8" ref="C37:AF37">+C22*C36</f>
        <v>1412018.7708</v>
      </c>
      <c r="D37" s="40">
        <f t="shared" si="8"/>
        <v>1496739.8970480002</v>
      </c>
      <c r="E37" s="40">
        <f t="shared" si="8"/>
        <v>1586544.2908708802</v>
      </c>
      <c r="F37" s="40">
        <f t="shared" si="8"/>
        <v>1681736.9483231332</v>
      </c>
      <c r="G37" s="40">
        <f t="shared" si="8"/>
        <v>1782641.1652225214</v>
      </c>
      <c r="H37" s="40">
        <f t="shared" si="8"/>
        <v>1889599.6351358725</v>
      </c>
      <c r="I37" s="40">
        <f t="shared" si="8"/>
        <v>2002975.613244025</v>
      </c>
      <c r="J37" s="40">
        <f t="shared" si="8"/>
        <v>2123154.150038667</v>
      </c>
      <c r="K37" s="40">
        <f t="shared" si="8"/>
        <v>2250543.399040987</v>
      </c>
      <c r="L37" s="40">
        <f t="shared" si="8"/>
        <v>2385576.0029834462</v>
      </c>
      <c r="M37" s="40">
        <f t="shared" si="8"/>
        <v>2528710.563162453</v>
      </c>
      <c r="N37" s="40">
        <f t="shared" si="8"/>
        <v>2680433.1969522005</v>
      </c>
      <c r="O37" s="40">
        <f t="shared" si="8"/>
        <v>2841259.188769333</v>
      </c>
      <c r="P37" s="40">
        <f t="shared" si="8"/>
        <v>3011734.740095493</v>
      </c>
      <c r="Q37" s="40">
        <f t="shared" si="8"/>
        <v>3132204.129699313</v>
      </c>
      <c r="R37" s="40">
        <f t="shared" si="8"/>
        <v>3257492.294887286</v>
      </c>
      <c r="S37" s="40">
        <f t="shared" si="8"/>
        <v>3387791.9866827773</v>
      </c>
      <c r="T37" s="40">
        <f t="shared" si="8"/>
        <v>3523303.6661500884</v>
      </c>
      <c r="U37" s="40">
        <f t="shared" si="8"/>
        <v>3664235.812796092</v>
      </c>
      <c r="V37" s="40">
        <f t="shared" si="8"/>
        <v>3810805.245307936</v>
      </c>
      <c r="W37" s="40">
        <f t="shared" si="8"/>
        <v>3963237.4551202534</v>
      </c>
      <c r="X37" s="40">
        <f t="shared" si="8"/>
        <v>4121766.9533250635</v>
      </c>
      <c r="Y37" s="40">
        <f t="shared" si="8"/>
        <v>4286637.631458066</v>
      </c>
      <c r="Z37" s="40">
        <f t="shared" si="8"/>
        <v>4458103.136716389</v>
      </c>
      <c r="AA37" s="40">
        <f t="shared" si="8"/>
        <v>4636427.2621850455</v>
      </c>
      <c r="AB37" s="40">
        <f t="shared" si="8"/>
        <v>4821884.3526724465</v>
      </c>
      <c r="AC37" s="40">
        <f t="shared" si="8"/>
        <v>5014759.726779345</v>
      </c>
      <c r="AD37" s="40">
        <f t="shared" si="8"/>
        <v>5215350.115850518</v>
      </c>
      <c r="AE37" s="40">
        <f t="shared" si="8"/>
        <v>5423964.12048454</v>
      </c>
      <c r="AF37" s="40">
        <f t="shared" si="8"/>
        <v>5640922.685303922</v>
      </c>
    </row>
    <row r="38" spans="1:32" ht="12.75">
      <c r="A38" s="39" t="s">
        <v>3</v>
      </c>
      <c r="B38" s="40">
        <v>348577</v>
      </c>
      <c r="C38" s="40">
        <f aca="true" t="shared" si="9" ref="C38:AF38">+C23*C36</f>
        <v>385096.02839999995</v>
      </c>
      <c r="D38" s="40">
        <f t="shared" si="9"/>
        <v>408201.790104</v>
      </c>
      <c r="E38" s="40">
        <f t="shared" si="9"/>
        <v>432693.89751024</v>
      </c>
      <c r="F38" s="40">
        <f t="shared" si="9"/>
        <v>458655.53136085445</v>
      </c>
      <c r="G38" s="40">
        <f t="shared" si="9"/>
        <v>486174.8632425058</v>
      </c>
      <c r="H38" s="40">
        <f t="shared" si="9"/>
        <v>515345.35503705614</v>
      </c>
      <c r="I38" s="40">
        <f t="shared" si="9"/>
        <v>546266.0763392795</v>
      </c>
      <c r="J38" s="40">
        <f t="shared" si="9"/>
        <v>579042.0409196364</v>
      </c>
      <c r="K38" s="40">
        <f t="shared" si="9"/>
        <v>613784.5633748146</v>
      </c>
      <c r="L38" s="40">
        <f t="shared" si="9"/>
        <v>650611.6371773034</v>
      </c>
      <c r="M38" s="40">
        <f t="shared" si="9"/>
        <v>689648.3354079417</v>
      </c>
      <c r="N38" s="40">
        <f t="shared" si="9"/>
        <v>731027.2355324182</v>
      </c>
      <c r="O38" s="40">
        <f t="shared" si="9"/>
        <v>774888.8696643634</v>
      </c>
      <c r="P38" s="40">
        <f t="shared" si="9"/>
        <v>821382.2018442253</v>
      </c>
      <c r="Q38" s="40">
        <f t="shared" si="9"/>
        <v>854237.4899179944</v>
      </c>
      <c r="R38" s="40">
        <f t="shared" si="9"/>
        <v>888406.9895147142</v>
      </c>
      <c r="S38" s="40">
        <f t="shared" si="9"/>
        <v>923943.2690953028</v>
      </c>
      <c r="T38" s="40">
        <f t="shared" si="9"/>
        <v>960900.999859115</v>
      </c>
      <c r="U38" s="40">
        <f t="shared" si="9"/>
        <v>999337.0398534795</v>
      </c>
      <c r="V38" s="40">
        <f t="shared" si="9"/>
        <v>1039310.5214476188</v>
      </c>
      <c r="W38" s="40">
        <f t="shared" si="9"/>
        <v>1080882.9423055234</v>
      </c>
      <c r="X38" s="40">
        <f t="shared" si="9"/>
        <v>1124118.2599977446</v>
      </c>
      <c r="Y38" s="40">
        <f t="shared" si="9"/>
        <v>1169082.9903976545</v>
      </c>
      <c r="Z38" s="40">
        <f t="shared" si="9"/>
        <v>1215846.3100135606</v>
      </c>
      <c r="AA38" s="40">
        <f t="shared" si="9"/>
        <v>1264480.162414103</v>
      </c>
      <c r="AB38" s="40">
        <f t="shared" si="9"/>
        <v>1315059.3689106673</v>
      </c>
      <c r="AC38" s="40">
        <f t="shared" si="9"/>
        <v>1367661.743667094</v>
      </c>
      <c r="AD38" s="40">
        <f t="shared" si="9"/>
        <v>1422368.2134137778</v>
      </c>
      <c r="AE38" s="40">
        <f t="shared" si="9"/>
        <v>1479262.9419503289</v>
      </c>
      <c r="AF38" s="40">
        <f t="shared" si="9"/>
        <v>1538433.4596283422</v>
      </c>
    </row>
    <row r="39" spans="1:32" ht="12.75">
      <c r="A39" s="39" t="s">
        <v>4</v>
      </c>
      <c r="B39" s="41">
        <v>61484</v>
      </c>
      <c r="C39" s="41">
        <f aca="true" t="shared" si="10" ref="C39:AF39">+C24*B138</f>
        <v>57952.28</v>
      </c>
      <c r="D39" s="41">
        <f t="shared" si="10"/>
        <v>57924.86093849999</v>
      </c>
      <c r="E39" s="41">
        <f t="shared" si="10"/>
        <v>62692.991596805994</v>
      </c>
      <c r="F39" s="41">
        <f t="shared" si="10"/>
        <v>67824.76843473014</v>
      </c>
      <c r="G39" s="41">
        <f t="shared" si="10"/>
        <v>73346.66372345664</v>
      </c>
      <c r="H39" s="41">
        <f t="shared" si="10"/>
        <v>77747.46354686405</v>
      </c>
      <c r="I39" s="41">
        <f t="shared" si="10"/>
        <v>82412.31135967589</v>
      </c>
      <c r="J39" s="41">
        <f t="shared" si="10"/>
        <v>87357.05004125646</v>
      </c>
      <c r="K39" s="41">
        <f t="shared" si="10"/>
        <v>92598.47304373185</v>
      </c>
      <c r="L39" s="41">
        <f t="shared" si="10"/>
        <v>98154.38142635577</v>
      </c>
      <c r="M39" s="41">
        <f t="shared" si="10"/>
        <v>104043.64431193711</v>
      </c>
      <c r="N39" s="41">
        <f t="shared" si="10"/>
        <v>110286.26297065333</v>
      </c>
      <c r="O39" s="41">
        <f t="shared" si="10"/>
        <v>116903.43874889256</v>
      </c>
      <c r="P39" s="41">
        <f t="shared" si="10"/>
        <v>123917.64507382612</v>
      </c>
      <c r="Q39" s="41">
        <f t="shared" si="10"/>
        <v>131352.7037782557</v>
      </c>
      <c r="R39" s="41">
        <f t="shared" si="10"/>
        <v>136606.81192938593</v>
      </c>
      <c r="S39" s="41">
        <f t="shared" si="10"/>
        <v>142071.0844065614</v>
      </c>
      <c r="T39" s="41">
        <f t="shared" si="10"/>
        <v>147753.92778282386</v>
      </c>
      <c r="U39" s="41">
        <f t="shared" si="10"/>
        <v>153664.08489413682</v>
      </c>
      <c r="V39" s="41">
        <f t="shared" si="10"/>
        <v>159810.64828990225</v>
      </c>
      <c r="W39" s="41">
        <f t="shared" si="10"/>
        <v>166203.07422149836</v>
      </c>
      <c r="X39" s="41">
        <f t="shared" si="10"/>
        <v>172851.1971903583</v>
      </c>
      <c r="Y39" s="41">
        <f t="shared" si="10"/>
        <v>179765.24507797265</v>
      </c>
      <c r="Z39" s="41">
        <f t="shared" si="10"/>
        <v>186955.85488109157</v>
      </c>
      <c r="AA39" s="41">
        <f t="shared" si="10"/>
        <v>194434.08907633525</v>
      </c>
      <c r="AB39" s="41">
        <f t="shared" si="10"/>
        <v>202211.45263938868</v>
      </c>
      <c r="AC39" s="41">
        <f t="shared" si="10"/>
        <v>210299.91074496417</v>
      </c>
      <c r="AD39" s="41">
        <f t="shared" si="10"/>
        <v>218711.9071747628</v>
      </c>
      <c r="AE39" s="41">
        <f t="shared" si="10"/>
        <v>227460.3834617533</v>
      </c>
      <c r="AF39" s="41">
        <f t="shared" si="10"/>
        <v>236558.79880022342</v>
      </c>
    </row>
    <row r="40" spans="1:32" ht="12.75">
      <c r="A40" s="119" t="s">
        <v>179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3.5" thickBot="1">
      <c r="A41" s="39" t="s">
        <v>138</v>
      </c>
      <c r="B41" s="43">
        <v>-5246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 ht="12.75">
      <c r="A42" s="39" t="s">
        <v>7</v>
      </c>
      <c r="B42" s="40">
        <f>+B36-B37-B38-B39-B40-B41</f>
        <v>233466</v>
      </c>
      <c r="C42" s="40">
        <f aca="true" t="shared" si="11" ref="C42:AF42">+C36-C37-C38-C39-C40-C41</f>
        <v>284355.30079999985</v>
      </c>
      <c r="D42" s="40">
        <f t="shared" si="11"/>
        <v>304921.1747094999</v>
      </c>
      <c r="E42" s="40">
        <f t="shared" si="11"/>
        <v>321923.80619007413</v>
      </c>
      <c r="F42" s="40">
        <f t="shared" si="11"/>
        <v>339869.03721936274</v>
      </c>
      <c r="G42" s="40">
        <f t="shared" si="11"/>
        <v>358808.7702698817</v>
      </c>
      <c r="H42" s="40">
        <f t="shared" si="11"/>
        <v>380337.29648607475</v>
      </c>
      <c r="I42" s="40">
        <f t="shared" si="11"/>
        <v>403157.5342752393</v>
      </c>
      <c r="J42" s="40">
        <f t="shared" si="11"/>
        <v>427346.98633175343</v>
      </c>
      <c r="K42" s="40">
        <f t="shared" si="11"/>
        <v>452987.805511659</v>
      </c>
      <c r="L42" s="40">
        <f t="shared" si="11"/>
        <v>480167.0738423583</v>
      </c>
      <c r="M42" s="40">
        <f t="shared" si="11"/>
        <v>508977.0982728999</v>
      </c>
      <c r="N42" s="40">
        <f t="shared" si="11"/>
        <v>539515.724169274</v>
      </c>
      <c r="O42" s="40">
        <f t="shared" si="11"/>
        <v>571886.6676194305</v>
      </c>
      <c r="P42" s="40">
        <f t="shared" si="11"/>
        <v>606199.8676765964</v>
      </c>
      <c r="Q42" s="40">
        <f t="shared" si="11"/>
        <v>627969.5094821836</v>
      </c>
      <c r="R42" s="40">
        <f t="shared" si="11"/>
        <v>653088.2898614709</v>
      </c>
      <c r="S42" s="40">
        <f t="shared" si="11"/>
        <v>679211.8214559299</v>
      </c>
      <c r="T42" s="40">
        <f t="shared" si="11"/>
        <v>706380.294314167</v>
      </c>
      <c r="U42" s="40">
        <f t="shared" si="11"/>
        <v>734635.5060867337</v>
      </c>
      <c r="V42" s="40">
        <f t="shared" si="11"/>
        <v>764020.9263302032</v>
      </c>
      <c r="W42" s="40">
        <f t="shared" si="11"/>
        <v>794581.7633834113</v>
      </c>
      <c r="X42" s="40">
        <f t="shared" si="11"/>
        <v>826365.0339187477</v>
      </c>
      <c r="Y42" s="40">
        <f t="shared" si="11"/>
        <v>859419.6352754977</v>
      </c>
      <c r="Z42" s="40">
        <f t="shared" si="11"/>
        <v>893796.4206865183</v>
      </c>
      <c r="AA42" s="40">
        <f t="shared" si="11"/>
        <v>929548.2775139781</v>
      </c>
      <c r="AB42" s="40">
        <f t="shared" si="11"/>
        <v>966730.208614538</v>
      </c>
      <c r="AC42" s="40">
        <f t="shared" si="11"/>
        <v>1005399.416959119</v>
      </c>
      <c r="AD42" s="40">
        <f t="shared" si="11"/>
        <v>1045615.3936374844</v>
      </c>
      <c r="AE42" s="40">
        <f t="shared" si="11"/>
        <v>1087440.009382983</v>
      </c>
      <c r="AF42" s="40">
        <f t="shared" si="11"/>
        <v>1130937.609758302</v>
      </c>
    </row>
    <row r="43" spans="1:32" ht="13.5" thickBot="1">
      <c r="A43" s="39" t="s">
        <v>8</v>
      </c>
      <c r="B43" s="43">
        <v>67485</v>
      </c>
      <c r="C43" s="43">
        <f aca="true" t="shared" si="12" ref="C43:AF43">C25*C42</f>
        <v>99524.35527999995</v>
      </c>
      <c r="D43" s="43">
        <f t="shared" si="12"/>
        <v>106722.41114832494</v>
      </c>
      <c r="E43" s="43">
        <f t="shared" si="12"/>
        <v>112673.33216652594</v>
      </c>
      <c r="F43" s="43">
        <f t="shared" si="12"/>
        <v>118954.16302677695</v>
      </c>
      <c r="G43" s="43">
        <f t="shared" si="12"/>
        <v>125583.06959445859</v>
      </c>
      <c r="H43" s="43">
        <f t="shared" si="12"/>
        <v>133118.05377012616</v>
      </c>
      <c r="I43" s="43">
        <f t="shared" si="12"/>
        <v>141105.13699633375</v>
      </c>
      <c r="J43" s="43">
        <f t="shared" si="12"/>
        <v>149571.4452161137</v>
      </c>
      <c r="K43" s="43">
        <f t="shared" si="12"/>
        <v>158545.73192908065</v>
      </c>
      <c r="L43" s="43">
        <f t="shared" si="12"/>
        <v>168058.47584482539</v>
      </c>
      <c r="M43" s="43">
        <f t="shared" si="12"/>
        <v>178141.98439551497</v>
      </c>
      <c r="N43" s="43">
        <f t="shared" si="12"/>
        <v>188830.50345924587</v>
      </c>
      <c r="O43" s="43">
        <f t="shared" si="12"/>
        <v>200160.33366680064</v>
      </c>
      <c r="P43" s="43">
        <f t="shared" si="12"/>
        <v>212169.95368680873</v>
      </c>
      <c r="Q43" s="43">
        <f t="shared" si="12"/>
        <v>219789.32831876425</v>
      </c>
      <c r="R43" s="43">
        <f t="shared" si="12"/>
        <v>228580.9014515148</v>
      </c>
      <c r="S43" s="43">
        <f t="shared" si="12"/>
        <v>237724.13750957543</v>
      </c>
      <c r="T43" s="43">
        <f t="shared" si="12"/>
        <v>247233.10300995843</v>
      </c>
      <c r="U43" s="43">
        <f t="shared" si="12"/>
        <v>257122.42713035675</v>
      </c>
      <c r="V43" s="43">
        <f t="shared" si="12"/>
        <v>267407.3242155711</v>
      </c>
      <c r="W43" s="43">
        <f t="shared" si="12"/>
        <v>278103.6171841939</v>
      </c>
      <c r="X43" s="43">
        <f t="shared" si="12"/>
        <v>289227.76187156164</v>
      </c>
      <c r="Y43" s="43">
        <f t="shared" si="12"/>
        <v>300796.87234642415</v>
      </c>
      <c r="Z43" s="43">
        <f t="shared" si="12"/>
        <v>312828.7472402814</v>
      </c>
      <c r="AA43" s="43">
        <f t="shared" si="12"/>
        <v>325341.8971298923</v>
      </c>
      <c r="AB43" s="43">
        <f t="shared" si="12"/>
        <v>338355.5730150883</v>
      </c>
      <c r="AC43" s="43">
        <f t="shared" si="12"/>
        <v>351889.7959356916</v>
      </c>
      <c r="AD43" s="43">
        <f t="shared" si="12"/>
        <v>365965.3877731195</v>
      </c>
      <c r="AE43" s="43">
        <f t="shared" si="12"/>
        <v>380604.00328404404</v>
      </c>
      <c r="AF43" s="43">
        <f t="shared" si="12"/>
        <v>395828.1634154057</v>
      </c>
    </row>
    <row r="44" spans="1:32" ht="12.75">
      <c r="A44" s="119" t="s">
        <v>180</v>
      </c>
      <c r="B44" s="44">
        <f>+B42-B43</f>
        <v>165981</v>
      </c>
      <c r="C44" s="44">
        <f aca="true" t="shared" si="13" ref="C44:AF44">+C42-C43</f>
        <v>184830.9455199999</v>
      </c>
      <c r="D44" s="44">
        <f t="shared" si="13"/>
        <v>198198.7635611749</v>
      </c>
      <c r="E44" s="44">
        <f t="shared" si="13"/>
        <v>209250.4740235482</v>
      </c>
      <c r="F44" s="44">
        <f t="shared" si="13"/>
        <v>220914.8741925858</v>
      </c>
      <c r="G44" s="44">
        <f t="shared" si="13"/>
        <v>233225.7006754231</v>
      </c>
      <c r="H44" s="44">
        <f t="shared" si="13"/>
        <v>247219.24271594858</v>
      </c>
      <c r="I44" s="44">
        <f t="shared" si="13"/>
        <v>262052.39727890553</v>
      </c>
      <c r="J44" s="44">
        <f t="shared" si="13"/>
        <v>277775.54111563973</v>
      </c>
      <c r="K44" s="44">
        <f t="shared" si="13"/>
        <v>294442.07358257833</v>
      </c>
      <c r="L44" s="44">
        <f t="shared" si="13"/>
        <v>312108.5979975329</v>
      </c>
      <c r="M44" s="44">
        <f t="shared" si="13"/>
        <v>330835.1138773849</v>
      </c>
      <c r="N44" s="44">
        <f t="shared" si="13"/>
        <v>350685.2207100281</v>
      </c>
      <c r="O44" s="44">
        <f t="shared" si="13"/>
        <v>371726.3339526298</v>
      </c>
      <c r="P44" s="44">
        <f t="shared" si="13"/>
        <v>394029.9139897877</v>
      </c>
      <c r="Q44" s="44">
        <f t="shared" si="13"/>
        <v>408180.1811634194</v>
      </c>
      <c r="R44" s="44">
        <f t="shared" si="13"/>
        <v>424507.3884099561</v>
      </c>
      <c r="S44" s="44">
        <f t="shared" si="13"/>
        <v>441487.68394635443</v>
      </c>
      <c r="T44" s="44">
        <f t="shared" si="13"/>
        <v>459147.1913042086</v>
      </c>
      <c r="U44" s="44">
        <f t="shared" si="13"/>
        <v>477513.0789563769</v>
      </c>
      <c r="V44" s="44">
        <f t="shared" si="13"/>
        <v>496613.6021146321</v>
      </c>
      <c r="W44" s="44">
        <f t="shared" si="13"/>
        <v>516478.1461992174</v>
      </c>
      <c r="X44" s="44">
        <f t="shared" si="13"/>
        <v>537137.272047186</v>
      </c>
      <c r="Y44" s="44">
        <f t="shared" si="13"/>
        <v>558622.7629290735</v>
      </c>
      <c r="Z44" s="44">
        <f t="shared" si="13"/>
        <v>580967.6734462369</v>
      </c>
      <c r="AA44" s="44">
        <f t="shared" si="13"/>
        <v>604206.3803840857</v>
      </c>
      <c r="AB44" s="44">
        <f t="shared" si="13"/>
        <v>628374.6355994497</v>
      </c>
      <c r="AC44" s="44">
        <f t="shared" si="13"/>
        <v>653509.6210234275</v>
      </c>
      <c r="AD44" s="44">
        <f t="shared" si="13"/>
        <v>679650.0058643649</v>
      </c>
      <c r="AE44" s="44">
        <f t="shared" si="13"/>
        <v>706836.0060989389</v>
      </c>
      <c r="AF44" s="44">
        <f t="shared" si="13"/>
        <v>735109.4463428964</v>
      </c>
    </row>
    <row r="46" spans="1:46" ht="23.25">
      <c r="A46" s="26" t="s">
        <v>181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13.5" thickBot="1">
      <c r="A47" s="87" t="s">
        <v>89</v>
      </c>
      <c r="B47" s="88">
        <f>+B35</f>
        <v>2008</v>
      </c>
      <c r="C47" s="88">
        <f>+B47+1</f>
        <v>2009</v>
      </c>
      <c r="D47" s="88">
        <f aca="true" t="shared" si="14" ref="D47:AE47">+C47+1</f>
        <v>2010</v>
      </c>
      <c r="E47" s="88">
        <f t="shared" si="14"/>
        <v>2011</v>
      </c>
      <c r="F47" s="88">
        <f t="shared" si="14"/>
        <v>2012</v>
      </c>
      <c r="G47" s="88">
        <f t="shared" si="14"/>
        <v>2013</v>
      </c>
      <c r="H47" s="88">
        <f t="shared" si="14"/>
        <v>2014</v>
      </c>
      <c r="I47" s="88">
        <f t="shared" si="14"/>
        <v>2015</v>
      </c>
      <c r="J47" s="88">
        <f t="shared" si="14"/>
        <v>2016</v>
      </c>
      <c r="K47" s="88">
        <f t="shared" si="14"/>
        <v>2017</v>
      </c>
      <c r="L47" s="88">
        <f t="shared" si="14"/>
        <v>2018</v>
      </c>
      <c r="M47" s="88">
        <f t="shared" si="14"/>
        <v>2019</v>
      </c>
      <c r="N47" s="88">
        <f t="shared" si="14"/>
        <v>2020</v>
      </c>
      <c r="O47" s="88">
        <f t="shared" si="14"/>
        <v>2021</v>
      </c>
      <c r="P47" s="88">
        <f t="shared" si="14"/>
        <v>2022</v>
      </c>
      <c r="Q47" s="88">
        <f t="shared" si="14"/>
        <v>2023</v>
      </c>
      <c r="R47" s="88">
        <f t="shared" si="14"/>
        <v>2024</v>
      </c>
      <c r="S47" s="88">
        <f t="shared" si="14"/>
        <v>2025</v>
      </c>
      <c r="T47" s="88">
        <f t="shared" si="14"/>
        <v>2026</v>
      </c>
      <c r="U47" s="88">
        <f t="shared" si="14"/>
        <v>2027</v>
      </c>
      <c r="V47" s="88">
        <f t="shared" si="14"/>
        <v>2028</v>
      </c>
      <c r="W47" s="88">
        <f t="shared" si="14"/>
        <v>2029</v>
      </c>
      <c r="X47" s="88">
        <f t="shared" si="14"/>
        <v>2030</v>
      </c>
      <c r="Y47" s="88">
        <f t="shared" si="14"/>
        <v>2031</v>
      </c>
      <c r="Z47" s="88">
        <f t="shared" si="14"/>
        <v>2032</v>
      </c>
      <c r="AA47" s="88">
        <f t="shared" si="14"/>
        <v>2033</v>
      </c>
      <c r="AB47" s="88">
        <f t="shared" si="14"/>
        <v>2034</v>
      </c>
      <c r="AC47" s="88">
        <f t="shared" si="14"/>
        <v>2035</v>
      </c>
      <c r="AD47" s="88">
        <f t="shared" si="14"/>
        <v>2036</v>
      </c>
      <c r="AE47" s="88">
        <f t="shared" si="14"/>
        <v>2037</v>
      </c>
      <c r="AF47" s="88">
        <f>+AE47+1</f>
        <v>2038</v>
      </c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32" ht="12.75">
      <c r="A48" s="92" t="s">
        <v>97</v>
      </c>
      <c r="B48" s="45">
        <f aca="true" t="shared" si="15" ref="B48:AF48">+B39</f>
        <v>61484</v>
      </c>
      <c r="C48" s="45">
        <f t="shared" si="15"/>
        <v>57952.28</v>
      </c>
      <c r="D48" s="45">
        <f t="shared" si="15"/>
        <v>57924.86093849999</v>
      </c>
      <c r="E48" s="45">
        <f t="shared" si="15"/>
        <v>62692.991596805994</v>
      </c>
      <c r="F48" s="45">
        <f t="shared" si="15"/>
        <v>67824.76843473014</v>
      </c>
      <c r="G48" s="45">
        <f t="shared" si="15"/>
        <v>73346.66372345664</v>
      </c>
      <c r="H48" s="45">
        <f t="shared" si="15"/>
        <v>77747.46354686405</v>
      </c>
      <c r="I48" s="45">
        <f t="shared" si="15"/>
        <v>82412.31135967589</v>
      </c>
      <c r="J48" s="45">
        <f t="shared" si="15"/>
        <v>87357.05004125646</v>
      </c>
      <c r="K48" s="45">
        <f t="shared" si="15"/>
        <v>92598.47304373185</v>
      </c>
      <c r="L48" s="45">
        <f t="shared" si="15"/>
        <v>98154.38142635577</v>
      </c>
      <c r="M48" s="45">
        <f t="shared" si="15"/>
        <v>104043.64431193711</v>
      </c>
      <c r="N48" s="45">
        <f t="shared" si="15"/>
        <v>110286.26297065333</v>
      </c>
      <c r="O48" s="45">
        <f t="shared" si="15"/>
        <v>116903.43874889256</v>
      </c>
      <c r="P48" s="45">
        <f t="shared" si="15"/>
        <v>123917.64507382612</v>
      </c>
      <c r="Q48" s="45">
        <f t="shared" si="15"/>
        <v>131352.7037782557</v>
      </c>
      <c r="R48" s="45">
        <f t="shared" si="15"/>
        <v>136606.81192938593</v>
      </c>
      <c r="S48" s="45">
        <f t="shared" si="15"/>
        <v>142071.0844065614</v>
      </c>
      <c r="T48" s="45">
        <f t="shared" si="15"/>
        <v>147753.92778282386</v>
      </c>
      <c r="U48" s="45">
        <f t="shared" si="15"/>
        <v>153664.08489413682</v>
      </c>
      <c r="V48" s="45">
        <f t="shared" si="15"/>
        <v>159810.64828990225</v>
      </c>
      <c r="W48" s="45">
        <f t="shared" si="15"/>
        <v>166203.07422149836</v>
      </c>
      <c r="X48" s="45">
        <f t="shared" si="15"/>
        <v>172851.1971903583</v>
      </c>
      <c r="Y48" s="45">
        <f t="shared" si="15"/>
        <v>179765.24507797265</v>
      </c>
      <c r="Z48" s="45">
        <f t="shared" si="15"/>
        <v>186955.85488109157</v>
      </c>
      <c r="AA48" s="45">
        <f t="shared" si="15"/>
        <v>194434.08907633525</v>
      </c>
      <c r="AB48" s="45">
        <f t="shared" si="15"/>
        <v>202211.45263938868</v>
      </c>
      <c r="AC48" s="45">
        <f t="shared" si="15"/>
        <v>210299.91074496417</v>
      </c>
      <c r="AD48" s="45">
        <f t="shared" si="15"/>
        <v>218711.9071747628</v>
      </c>
      <c r="AE48" s="45">
        <f t="shared" si="15"/>
        <v>227460.3834617533</v>
      </c>
      <c r="AF48" s="45">
        <f t="shared" si="15"/>
        <v>236558.79880022342</v>
      </c>
    </row>
    <row r="49" spans="1:32" ht="12.75">
      <c r="A49" s="93" t="s">
        <v>145</v>
      </c>
      <c r="B49" s="61">
        <f aca="true" t="shared" si="16" ref="B49:AF49">+B131</f>
        <v>61593</v>
      </c>
      <c r="C49" s="61">
        <f t="shared" si="16"/>
        <v>35417.866562800016</v>
      </c>
      <c r="D49" s="61">
        <f t="shared" si="16"/>
        <v>31838.88385915995</v>
      </c>
      <c r="E49" s="61">
        <f t="shared" si="16"/>
        <v>33972.367202633235</v>
      </c>
      <c r="F49" s="61">
        <f t="shared" si="16"/>
        <v>35380.899228414986</v>
      </c>
      <c r="G49" s="61">
        <f t="shared" si="16"/>
        <v>35001.53244991822</v>
      </c>
      <c r="H49" s="61">
        <f t="shared" si="16"/>
        <v>39039.84151837311</v>
      </c>
      <c r="I49" s="61">
        <f t="shared" si="16"/>
        <v>33474.54383940727</v>
      </c>
      <c r="J49" s="61">
        <f t="shared" si="16"/>
        <v>31956.565465847845</v>
      </c>
      <c r="K49" s="61">
        <f t="shared" si="16"/>
        <v>42559.59000759339</v>
      </c>
      <c r="L49" s="61">
        <f t="shared" si="16"/>
        <v>45113.16540804866</v>
      </c>
      <c r="M49" s="61">
        <f t="shared" si="16"/>
        <v>47819.955332532176</v>
      </c>
      <c r="N49" s="61">
        <f t="shared" si="16"/>
        <v>50689.15265248355</v>
      </c>
      <c r="O49" s="61">
        <f t="shared" si="16"/>
        <v>53730.50181163312</v>
      </c>
      <c r="P49" s="61">
        <f t="shared" si="16"/>
        <v>56954.33192033053</v>
      </c>
      <c r="Q49" s="61">
        <f t="shared" si="16"/>
        <v>40247.72789036727</v>
      </c>
      <c r="R49" s="61">
        <f t="shared" si="16"/>
        <v>41857.63700598187</v>
      </c>
      <c r="S49" s="61">
        <f t="shared" si="16"/>
        <v>43531.94248622074</v>
      </c>
      <c r="T49" s="61">
        <f t="shared" si="16"/>
        <v>45273.2201856703</v>
      </c>
      <c r="U49" s="61">
        <f t="shared" si="16"/>
        <v>47084.148993096314</v>
      </c>
      <c r="V49" s="61">
        <f t="shared" si="16"/>
        <v>48967.51495282049</v>
      </c>
      <c r="W49" s="61">
        <f t="shared" si="16"/>
        <v>50926.21555093373</v>
      </c>
      <c r="X49" s="61">
        <f t="shared" si="16"/>
        <v>52963.26417297032</v>
      </c>
      <c r="Y49" s="61">
        <f t="shared" si="16"/>
        <v>55081.79473988991</v>
      </c>
      <c r="Z49" s="61">
        <f t="shared" si="16"/>
        <v>57285.066529485164</v>
      </c>
      <c r="AA49" s="61">
        <f t="shared" si="16"/>
        <v>59576.46919066436</v>
      </c>
      <c r="AB49" s="61">
        <f t="shared" si="16"/>
        <v>61959.527958290884</v>
      </c>
      <c r="AC49" s="61">
        <f t="shared" si="16"/>
        <v>64437.90907662292</v>
      </c>
      <c r="AD49" s="61">
        <f t="shared" si="16"/>
        <v>67015.42543968745</v>
      </c>
      <c r="AE49" s="61">
        <f t="shared" si="16"/>
        <v>69696.04245727556</v>
      </c>
      <c r="AF49" s="61">
        <f t="shared" si="16"/>
        <v>72483.8841555661</v>
      </c>
    </row>
    <row r="50" spans="1:32" ht="13.5" thickBot="1">
      <c r="A50" s="92" t="s">
        <v>102</v>
      </c>
      <c r="B50" s="46">
        <v>50000</v>
      </c>
      <c r="C50" s="46">
        <f aca="true" t="shared" si="17" ref="C50:AF50">+C136</f>
        <v>57807.9691499999</v>
      </c>
      <c r="D50" s="46">
        <f t="shared" si="17"/>
        <v>83020.28545590001</v>
      </c>
      <c r="E50" s="46">
        <f t="shared" si="17"/>
        <v>89702.34337535407</v>
      </c>
      <c r="F50" s="46">
        <f t="shared" si="17"/>
        <v>148847.84066344931</v>
      </c>
      <c r="G50" s="46">
        <f t="shared" si="17"/>
        <v>177676.15113589907</v>
      </c>
      <c r="H50" s="46">
        <f t="shared" si="17"/>
        <v>181533.35703565297</v>
      </c>
      <c r="I50" s="46">
        <f t="shared" si="17"/>
        <v>185213.79349928815</v>
      </c>
      <c r="J50" s="46">
        <f t="shared" si="17"/>
        <v>188682.36225323117</v>
      </c>
      <c r="K50" s="46">
        <f t="shared" si="17"/>
        <v>200003.30398842512</v>
      </c>
      <c r="L50" s="46">
        <f t="shared" si="17"/>
        <v>212003.50222773064</v>
      </c>
      <c r="M50" s="46">
        <f t="shared" si="17"/>
        <v>224723.71236139443</v>
      </c>
      <c r="N50" s="46">
        <f t="shared" si="17"/>
        <v>238207.13510307815</v>
      </c>
      <c r="O50" s="46">
        <f t="shared" si="17"/>
        <v>252499.5632092628</v>
      </c>
      <c r="P50" s="46">
        <f t="shared" si="17"/>
        <v>267649.53700181865</v>
      </c>
      <c r="Q50" s="46">
        <f t="shared" si="17"/>
        <v>269881.9088242168</v>
      </c>
      <c r="R50" s="46">
        <f t="shared" si="17"/>
        <v>269068.1048644851</v>
      </c>
      <c r="S50" s="46">
        <f t="shared" si="17"/>
        <v>267525.20392760215</v>
      </c>
      <c r="T50" s="46">
        <f t="shared" si="17"/>
        <v>265182.24944535596</v>
      </c>
      <c r="U50" s="46">
        <f t="shared" si="17"/>
        <v>275789.53942317003</v>
      </c>
      <c r="V50" s="46">
        <f t="shared" si="17"/>
        <v>286821.1210000969</v>
      </c>
      <c r="W50" s="46">
        <f t="shared" si="17"/>
        <v>298293.9658401008</v>
      </c>
      <c r="X50" s="46">
        <f t="shared" si="17"/>
        <v>310225.7244737048</v>
      </c>
      <c r="Y50" s="46">
        <f t="shared" si="17"/>
        <v>322634.7534526533</v>
      </c>
      <c r="Z50" s="46">
        <f t="shared" si="17"/>
        <v>335540.14359075925</v>
      </c>
      <c r="AA50" s="46">
        <f t="shared" si="17"/>
        <v>348961.7493343899</v>
      </c>
      <c r="AB50" s="46">
        <f t="shared" si="17"/>
        <v>362920.21930776513</v>
      </c>
      <c r="AC50" s="46">
        <f t="shared" si="17"/>
        <v>377437.028080076</v>
      </c>
      <c r="AD50" s="46">
        <f t="shared" si="17"/>
        <v>392534.5092032789</v>
      </c>
      <c r="AE50" s="46">
        <f t="shared" si="17"/>
        <v>408235.8895714099</v>
      </c>
      <c r="AF50" s="46">
        <f t="shared" si="17"/>
        <v>424565.32515426655</v>
      </c>
    </row>
    <row r="51" spans="1:32" ht="12.75">
      <c r="A51" s="92" t="s">
        <v>146</v>
      </c>
      <c r="B51" s="45">
        <f aca="true" t="shared" si="18" ref="B51:AF51">+B44+B48-B49-B50</f>
        <v>115872</v>
      </c>
      <c r="C51" s="45">
        <f t="shared" si="18"/>
        <v>149557.38980719997</v>
      </c>
      <c r="D51" s="45">
        <f t="shared" si="18"/>
        <v>141264.45518461493</v>
      </c>
      <c r="E51" s="45">
        <f t="shared" si="18"/>
        <v>148268.75504236686</v>
      </c>
      <c r="F51" s="45">
        <f t="shared" si="18"/>
        <v>104510.90273545164</v>
      </c>
      <c r="G51" s="45">
        <f t="shared" si="18"/>
        <v>93894.68081306247</v>
      </c>
      <c r="H51" s="45">
        <f t="shared" si="18"/>
        <v>104393.50770878652</v>
      </c>
      <c r="I51" s="45">
        <f t="shared" si="18"/>
        <v>125776.37129988603</v>
      </c>
      <c r="J51" s="45">
        <f t="shared" si="18"/>
        <v>144493.6634378172</v>
      </c>
      <c r="K51" s="45">
        <f t="shared" si="18"/>
        <v>144477.6526302917</v>
      </c>
      <c r="L51" s="45">
        <f t="shared" si="18"/>
        <v>153146.31178810942</v>
      </c>
      <c r="M51" s="45">
        <f t="shared" si="18"/>
        <v>162335.09049539542</v>
      </c>
      <c r="N51" s="45">
        <f t="shared" si="18"/>
        <v>172075.19592511974</v>
      </c>
      <c r="O51" s="45">
        <f t="shared" si="18"/>
        <v>182399.70768062648</v>
      </c>
      <c r="P51" s="45">
        <f t="shared" si="18"/>
        <v>193343.69014146464</v>
      </c>
      <c r="Q51" s="45">
        <f t="shared" si="18"/>
        <v>229403.24822709104</v>
      </c>
      <c r="R51" s="45">
        <f t="shared" si="18"/>
        <v>250188.45846887503</v>
      </c>
      <c r="S51" s="45">
        <f t="shared" si="18"/>
        <v>272501.6219390929</v>
      </c>
      <c r="T51" s="45">
        <f t="shared" si="18"/>
        <v>296445.64945600624</v>
      </c>
      <c r="U51" s="45">
        <f t="shared" si="18"/>
        <v>308303.4754342474</v>
      </c>
      <c r="V51" s="45">
        <f t="shared" si="18"/>
        <v>320635.614451617</v>
      </c>
      <c r="W51" s="45">
        <f t="shared" si="18"/>
        <v>333461.03902968124</v>
      </c>
      <c r="X51" s="45">
        <f t="shared" si="18"/>
        <v>346799.4805908692</v>
      </c>
      <c r="Y51" s="45">
        <f t="shared" si="18"/>
        <v>360671.459814503</v>
      </c>
      <c r="Z51" s="45">
        <f t="shared" si="18"/>
        <v>375098.31820708397</v>
      </c>
      <c r="AA51" s="45">
        <f t="shared" si="18"/>
        <v>390102.2509353667</v>
      </c>
      <c r="AB51" s="45">
        <f t="shared" si="18"/>
        <v>405706.34097278235</v>
      </c>
      <c r="AC51" s="45">
        <f t="shared" si="18"/>
        <v>421934.5946116927</v>
      </c>
      <c r="AD51" s="45">
        <f t="shared" si="18"/>
        <v>438811.97839616134</v>
      </c>
      <c r="AE51" s="45">
        <f t="shared" si="18"/>
        <v>456364.4575320068</v>
      </c>
      <c r="AF51" s="45">
        <f t="shared" si="18"/>
        <v>474619.03583328717</v>
      </c>
    </row>
    <row r="52" spans="1:31" ht="12.75">
      <c r="A52" s="105" t="s">
        <v>147</v>
      </c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8"/>
      <c r="AE52" s="108">
        <f>+AF51/($B311-AF21)</f>
        <v>9122903.13951537</v>
      </c>
    </row>
    <row r="53" spans="1:31" ht="12.75">
      <c r="A53" s="95" t="s">
        <v>108</v>
      </c>
      <c r="B53" s="47">
        <f>+B52+B51</f>
        <v>115872</v>
      </c>
      <c r="C53" s="47">
        <f aca="true" t="shared" si="19" ref="C53:AE53">+C52+C51</f>
        <v>149557.38980719997</v>
      </c>
      <c r="D53" s="47">
        <f t="shared" si="19"/>
        <v>141264.45518461493</v>
      </c>
      <c r="E53" s="47">
        <f t="shared" si="19"/>
        <v>148268.75504236686</v>
      </c>
      <c r="F53" s="47">
        <f t="shared" si="19"/>
        <v>104510.90273545164</v>
      </c>
      <c r="G53" s="47">
        <f t="shared" si="19"/>
        <v>93894.68081306247</v>
      </c>
      <c r="H53" s="47">
        <f t="shared" si="19"/>
        <v>104393.50770878652</v>
      </c>
      <c r="I53" s="47">
        <f t="shared" si="19"/>
        <v>125776.37129988603</v>
      </c>
      <c r="J53" s="47">
        <f t="shared" si="19"/>
        <v>144493.6634378172</v>
      </c>
      <c r="K53" s="47">
        <f t="shared" si="19"/>
        <v>144477.6526302917</v>
      </c>
      <c r="L53" s="47">
        <f t="shared" si="19"/>
        <v>153146.31178810942</v>
      </c>
      <c r="M53" s="47">
        <f t="shared" si="19"/>
        <v>162335.09049539542</v>
      </c>
      <c r="N53" s="47">
        <f t="shared" si="19"/>
        <v>172075.19592511974</v>
      </c>
      <c r="O53" s="47">
        <f t="shared" si="19"/>
        <v>182399.70768062648</v>
      </c>
      <c r="P53" s="47">
        <f t="shared" si="19"/>
        <v>193343.69014146464</v>
      </c>
      <c r="Q53" s="47">
        <f t="shared" si="19"/>
        <v>229403.24822709104</v>
      </c>
      <c r="R53" s="47">
        <f t="shared" si="19"/>
        <v>250188.45846887503</v>
      </c>
      <c r="S53" s="47">
        <f t="shared" si="19"/>
        <v>272501.6219390929</v>
      </c>
      <c r="T53" s="47">
        <f t="shared" si="19"/>
        <v>296445.64945600624</v>
      </c>
      <c r="U53" s="47">
        <f t="shared" si="19"/>
        <v>308303.4754342474</v>
      </c>
      <c r="V53" s="47">
        <f t="shared" si="19"/>
        <v>320635.614451617</v>
      </c>
      <c r="W53" s="47">
        <f t="shared" si="19"/>
        <v>333461.03902968124</v>
      </c>
      <c r="X53" s="47">
        <f t="shared" si="19"/>
        <v>346799.4805908692</v>
      </c>
      <c r="Y53" s="47">
        <f t="shared" si="19"/>
        <v>360671.459814503</v>
      </c>
      <c r="Z53" s="47">
        <f t="shared" si="19"/>
        <v>375098.31820708397</v>
      </c>
      <c r="AA53" s="47">
        <f t="shared" si="19"/>
        <v>390102.2509353667</v>
      </c>
      <c r="AB53" s="47">
        <f t="shared" si="19"/>
        <v>405706.34097278235</v>
      </c>
      <c r="AC53" s="47">
        <f t="shared" si="19"/>
        <v>421934.5946116927</v>
      </c>
      <c r="AD53" s="47">
        <f t="shared" si="19"/>
        <v>438811.97839616134</v>
      </c>
      <c r="AE53" s="47">
        <f t="shared" si="19"/>
        <v>9579267.597047377</v>
      </c>
    </row>
    <row r="55" ht="23.25">
      <c r="A55" s="26" t="s">
        <v>171</v>
      </c>
    </row>
    <row r="56" spans="1:16" ht="12.75">
      <c r="A56" s="94" t="s">
        <v>166</v>
      </c>
      <c r="B56" s="48">
        <f>NPV(B311,B53:AE53)</f>
        <v>2421259.928673935</v>
      </c>
      <c r="D56" s="5"/>
      <c r="E56" s="5"/>
      <c r="F56" s="5"/>
      <c r="G56" s="5"/>
      <c r="H56" s="5"/>
      <c r="I56" s="5"/>
      <c r="J56" s="5"/>
      <c r="K56" s="5"/>
      <c r="N56" s="5"/>
      <c r="O56" s="5"/>
      <c r="P56" s="5"/>
    </row>
    <row r="57" spans="1:16" ht="12.75">
      <c r="A57" s="94" t="s">
        <v>106</v>
      </c>
      <c r="B57" s="48"/>
      <c r="D57" s="5"/>
      <c r="E57" s="5"/>
      <c r="F57" s="5"/>
      <c r="G57" s="5"/>
      <c r="H57" s="128"/>
      <c r="I57" s="128"/>
      <c r="J57" s="128"/>
      <c r="K57" s="5"/>
      <c r="N57" s="5"/>
      <c r="O57" s="5"/>
      <c r="P57" s="5"/>
    </row>
    <row r="58" spans="1:16" ht="12.75">
      <c r="A58" s="94" t="s">
        <v>107</v>
      </c>
      <c r="B58" s="48">
        <f>+N178+N182</f>
        <v>289724</v>
      </c>
      <c r="D58" s="5"/>
      <c r="E58" s="5"/>
      <c r="F58" s="5"/>
      <c r="G58" s="5"/>
      <c r="H58" s="128"/>
      <c r="I58" s="128"/>
      <c r="J58" s="128"/>
      <c r="K58" s="5"/>
      <c r="N58" s="5"/>
      <c r="O58" s="5"/>
      <c r="P58" s="5"/>
    </row>
    <row r="59" spans="1:16" ht="12.75">
      <c r="A59" s="94" t="s">
        <v>121</v>
      </c>
      <c r="B59" s="48">
        <f>+B276</f>
        <v>67568.18085748643</v>
      </c>
      <c r="D59" s="5"/>
      <c r="E59" s="5"/>
      <c r="F59" s="5"/>
      <c r="G59" s="5"/>
      <c r="H59" s="128"/>
      <c r="I59" s="128"/>
      <c r="J59" s="128"/>
      <c r="K59" s="5"/>
      <c r="N59" s="5"/>
      <c r="O59" s="5"/>
      <c r="P59" s="5"/>
    </row>
    <row r="60" spans="1:16" ht="12.75">
      <c r="A60" s="94" t="s">
        <v>109</v>
      </c>
      <c r="B60" s="48">
        <v>20000</v>
      </c>
      <c r="D60" s="5"/>
      <c r="E60" s="5"/>
      <c r="F60" s="5"/>
      <c r="G60" s="5"/>
      <c r="H60" s="128"/>
      <c r="I60" s="128"/>
      <c r="J60" s="128"/>
      <c r="K60" s="5"/>
      <c r="N60" s="5"/>
      <c r="O60" s="5"/>
      <c r="P60" s="5"/>
    </row>
    <row r="61" spans="1:16" ht="12.75">
      <c r="A61" s="94" t="s">
        <v>139</v>
      </c>
      <c r="B61" s="48">
        <v>53000</v>
      </c>
      <c r="D61" s="5"/>
      <c r="E61" s="5"/>
      <c r="F61" s="5"/>
      <c r="G61" s="5"/>
      <c r="H61" s="128"/>
      <c r="I61" s="128"/>
      <c r="J61" s="128"/>
      <c r="K61" s="5"/>
      <c r="N61" s="5"/>
      <c r="O61" s="5"/>
      <c r="P61" s="5"/>
    </row>
    <row r="62" spans="1:16" ht="12.75">
      <c r="A62" s="94"/>
      <c r="B62" s="48"/>
      <c r="D62" s="5"/>
      <c r="E62" s="5"/>
      <c r="F62" s="5"/>
      <c r="G62" s="5"/>
      <c r="H62" s="128"/>
      <c r="I62" s="128"/>
      <c r="J62" s="128"/>
      <c r="K62" s="5"/>
      <c r="N62" s="5"/>
      <c r="O62" s="5"/>
      <c r="P62" s="5"/>
    </row>
    <row r="63" spans="1:16" ht="12.75">
      <c r="A63" s="94" t="s">
        <v>136</v>
      </c>
      <c r="B63" s="48">
        <f>+B56-B58-B59-B60-B61</f>
        <v>1990967.7478164488</v>
      </c>
      <c r="D63" s="5"/>
      <c r="E63" s="5"/>
      <c r="F63" s="5"/>
      <c r="G63" s="5"/>
      <c r="H63" s="128"/>
      <c r="I63" s="128"/>
      <c r="J63" s="128"/>
      <c r="K63" s="5"/>
      <c r="N63" s="5"/>
      <c r="O63" s="5"/>
      <c r="P63" s="5"/>
    </row>
    <row r="64" spans="1:16" ht="12.75">
      <c r="A64" s="94"/>
      <c r="B64" s="48"/>
      <c r="D64" s="5"/>
      <c r="E64" s="5"/>
      <c r="F64" s="5"/>
      <c r="G64" s="5"/>
      <c r="H64" s="128"/>
      <c r="I64" s="128"/>
      <c r="J64" s="128"/>
      <c r="K64" s="5"/>
      <c r="N64" s="5"/>
      <c r="O64" s="5"/>
      <c r="P64" s="5"/>
    </row>
    <row r="65" spans="1:16" ht="23.25">
      <c r="A65" s="26" t="s">
        <v>172</v>
      </c>
      <c r="B65" s="48"/>
      <c r="D65" s="5"/>
      <c r="E65" s="5"/>
      <c r="F65" s="5"/>
      <c r="G65" s="5"/>
      <c r="H65" s="128"/>
      <c r="I65" s="128"/>
      <c r="J65" s="128"/>
      <c r="K65" s="5"/>
      <c r="N65" s="5"/>
      <c r="O65" s="5"/>
      <c r="P65" s="5"/>
    </row>
    <row r="66" spans="1:16" ht="12.75">
      <c r="A66" s="110" t="s">
        <v>110</v>
      </c>
      <c r="B66" s="111">
        <v>53546</v>
      </c>
      <c r="D66" s="5"/>
      <c r="E66" s="5"/>
      <c r="F66" s="5"/>
      <c r="G66" s="5"/>
      <c r="H66" s="128"/>
      <c r="I66" s="128"/>
      <c r="J66" s="128"/>
      <c r="K66" s="5"/>
      <c r="N66" s="5"/>
      <c r="O66" s="5"/>
      <c r="P66" s="5"/>
    </row>
    <row r="67" spans="1:16" ht="13.5" thickBot="1">
      <c r="A67" s="110" t="s">
        <v>164</v>
      </c>
      <c r="B67" s="112">
        <v>1870</v>
      </c>
      <c r="D67" s="5"/>
      <c r="E67" s="5"/>
      <c r="F67" s="5"/>
      <c r="G67" s="5"/>
      <c r="H67" s="128"/>
      <c r="I67" s="128"/>
      <c r="J67" s="128"/>
      <c r="K67" s="5"/>
      <c r="N67" s="5"/>
      <c r="O67" s="5"/>
      <c r="P67" s="5"/>
    </row>
    <row r="68" spans="1:16" ht="12.75">
      <c r="A68" s="110" t="s">
        <v>111</v>
      </c>
      <c r="B68" s="111">
        <f>+B67+B66</f>
        <v>55416</v>
      </c>
      <c r="D68" s="5"/>
      <c r="E68" s="5"/>
      <c r="F68" s="5"/>
      <c r="G68" s="5"/>
      <c r="H68" s="128"/>
      <c r="I68" s="128"/>
      <c r="J68" s="128"/>
      <c r="K68" s="5"/>
      <c r="N68" s="5"/>
      <c r="O68" s="5"/>
      <c r="P68" s="5"/>
    </row>
    <row r="69" spans="1:16" ht="12.75">
      <c r="A69" s="110"/>
      <c r="B69" s="113"/>
      <c r="D69" s="5"/>
      <c r="E69" s="5"/>
      <c r="F69" s="5"/>
      <c r="G69" s="5"/>
      <c r="H69" s="128"/>
      <c r="I69" s="128"/>
      <c r="J69" s="128"/>
      <c r="K69" s="5"/>
      <c r="N69" s="5"/>
      <c r="O69" s="5"/>
      <c r="P69" s="5"/>
    </row>
    <row r="70" spans="1:16" ht="12.75">
      <c r="A70" s="110" t="s">
        <v>122</v>
      </c>
      <c r="B70" s="114">
        <f>+B63/B68</f>
        <v>35.927669767151166</v>
      </c>
      <c r="D70" s="5"/>
      <c r="E70" s="5"/>
      <c r="F70" s="5"/>
      <c r="G70" s="5"/>
      <c r="H70" s="128"/>
      <c r="I70" s="128"/>
      <c r="J70" s="128"/>
      <c r="K70" s="5"/>
      <c r="N70" s="5"/>
      <c r="O70" s="5"/>
      <c r="P70" s="5"/>
    </row>
    <row r="71" spans="2:16" ht="12.75">
      <c r="B71" s="5"/>
      <c r="C71" s="5"/>
      <c r="D71" s="5"/>
      <c r="E71" s="5"/>
      <c r="F71" s="5"/>
      <c r="G71" s="5"/>
      <c r="H71" s="128"/>
      <c r="I71" s="128"/>
      <c r="J71" s="128"/>
      <c r="K71" s="5"/>
      <c r="N71" s="5"/>
      <c r="O71" s="5"/>
      <c r="P71" s="5"/>
    </row>
    <row r="72" spans="1:16" ht="18">
      <c r="A72" s="101"/>
      <c r="B72" s="5"/>
      <c r="C72" s="5"/>
      <c r="D72" s="5"/>
      <c r="E72" s="5"/>
      <c r="F72" s="5"/>
      <c r="G72" s="5"/>
      <c r="H72" s="128"/>
      <c r="I72" s="128"/>
      <c r="J72" s="128"/>
      <c r="K72" s="5"/>
      <c r="N72" s="5"/>
      <c r="O72" s="5"/>
      <c r="P72" s="5"/>
    </row>
    <row r="73" spans="1:16" ht="18">
      <c r="A73" s="101"/>
      <c r="B73" s="5"/>
      <c r="C73" s="5"/>
      <c r="D73" s="5"/>
      <c r="E73" s="5"/>
      <c r="F73" s="5"/>
      <c r="G73" s="5"/>
      <c r="H73" s="128"/>
      <c r="I73" s="128"/>
      <c r="J73" s="128"/>
      <c r="K73" s="5"/>
      <c r="N73" s="5"/>
      <c r="O73" s="5"/>
      <c r="P73" s="5"/>
    </row>
    <row r="74" spans="1:16" ht="15.75">
      <c r="A74" s="27"/>
      <c r="B74" s="5"/>
      <c r="C74" s="5"/>
      <c r="D74" s="5"/>
      <c r="E74" s="5"/>
      <c r="F74" s="5"/>
      <c r="G74" s="5"/>
      <c r="H74" s="128"/>
      <c r="I74" s="128"/>
      <c r="J74" s="128"/>
      <c r="K74" s="5"/>
      <c r="N74" s="5"/>
      <c r="O74" s="5"/>
      <c r="P74" s="5"/>
    </row>
    <row r="75" spans="2:16" ht="20.25">
      <c r="B75" s="5"/>
      <c r="C75" s="5"/>
      <c r="D75" s="5"/>
      <c r="E75" s="5"/>
      <c r="F75" s="83"/>
      <c r="G75" s="128"/>
      <c r="H75" s="128"/>
      <c r="I75" s="128"/>
      <c r="J75" s="128"/>
      <c r="K75" s="5"/>
      <c r="L75" s="21"/>
      <c r="N75" s="5"/>
      <c r="O75" s="5"/>
      <c r="P75" s="5"/>
    </row>
    <row r="76" spans="1:16" ht="20.25">
      <c r="A76" s="81" t="s">
        <v>184</v>
      </c>
      <c r="B76" s="5"/>
      <c r="C76" s="5"/>
      <c r="D76" s="5"/>
      <c r="E76" s="5"/>
      <c r="F76" s="83"/>
      <c r="G76" s="5"/>
      <c r="H76" s="5"/>
      <c r="I76" s="5"/>
      <c r="J76" s="5"/>
      <c r="K76" s="5"/>
      <c r="L76" s="21"/>
      <c r="N76" s="5"/>
      <c r="O76" s="5"/>
      <c r="P76" s="5"/>
    </row>
    <row r="77" spans="1:16" ht="20.25">
      <c r="A77" s="86" t="s">
        <v>185</v>
      </c>
      <c r="B77" s="5"/>
      <c r="C77" s="5"/>
      <c r="D77" s="5"/>
      <c r="E77" s="5"/>
      <c r="F77" s="83"/>
      <c r="G77" s="5"/>
      <c r="H77" s="5"/>
      <c r="I77" s="5"/>
      <c r="J77" s="5"/>
      <c r="K77" s="5"/>
      <c r="L77" s="21"/>
      <c r="N77" s="5"/>
      <c r="O77" s="5"/>
      <c r="P77" s="5"/>
    </row>
    <row r="78" spans="1:16" ht="12.75">
      <c r="A78" s="82" t="s">
        <v>188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21"/>
      <c r="N78" s="5"/>
      <c r="O78" s="5"/>
      <c r="P78" s="5"/>
    </row>
    <row r="79" spans="1:16" ht="12.75">
      <c r="A79" s="82" t="s">
        <v>198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21"/>
      <c r="N79" s="5"/>
      <c r="O79" s="5"/>
      <c r="P79" s="5"/>
    </row>
    <row r="80" spans="1:16" ht="12.75">
      <c r="A80" s="82" t="s">
        <v>189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21"/>
      <c r="N80" s="5"/>
      <c r="O80" s="5"/>
      <c r="P80" s="5"/>
    </row>
    <row r="81" spans="1:16" ht="12.75">
      <c r="A81" s="82" t="s">
        <v>190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21"/>
      <c r="N81" s="5"/>
      <c r="O81" s="5"/>
      <c r="P81" s="5"/>
    </row>
    <row r="82" spans="1:16" ht="12.75">
      <c r="A82" s="82" t="s">
        <v>191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21"/>
      <c r="N82" s="5"/>
      <c r="O82" s="5"/>
      <c r="P82" s="5"/>
    </row>
    <row r="83" spans="1:16" ht="12.75">
      <c r="A83" s="82" t="s">
        <v>192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21"/>
      <c r="N83" s="5"/>
      <c r="O83" s="5"/>
      <c r="P83" s="5"/>
    </row>
    <row r="84" spans="1:16" ht="12.75">
      <c r="A84" s="82"/>
      <c r="B84" s="5"/>
      <c r="C84" s="5"/>
      <c r="D84" s="121" t="s">
        <v>193</v>
      </c>
      <c r="E84" s="5"/>
      <c r="F84" s="5"/>
      <c r="G84" s="5"/>
      <c r="H84" s="5"/>
      <c r="I84" s="5"/>
      <c r="J84" s="5"/>
      <c r="K84" s="5"/>
      <c r="L84" s="21"/>
      <c r="N84" s="5"/>
      <c r="O84" s="5"/>
      <c r="P84" s="5"/>
    </row>
    <row r="85" spans="1:16" ht="12.75">
      <c r="A85" s="82"/>
      <c r="B85" s="5"/>
      <c r="C85" s="5"/>
      <c r="D85" s="121" t="s">
        <v>194</v>
      </c>
      <c r="E85" s="121" t="s">
        <v>195</v>
      </c>
      <c r="F85" s="5"/>
      <c r="G85" s="5"/>
      <c r="H85" s="5"/>
      <c r="I85" s="5"/>
      <c r="J85" s="5"/>
      <c r="K85" s="5"/>
      <c r="L85" s="21"/>
      <c r="N85" s="5"/>
      <c r="O85" s="5"/>
      <c r="P85" s="5"/>
    </row>
    <row r="86" spans="1:16" ht="18">
      <c r="A86" s="32" t="s">
        <v>168</v>
      </c>
      <c r="B86" s="5"/>
      <c r="C86" s="5"/>
      <c r="D86" s="122"/>
      <c r="E86" s="123">
        <v>0.6</v>
      </c>
      <c r="F86" s="5"/>
      <c r="G86" s="5"/>
      <c r="H86" s="5"/>
      <c r="I86" s="5"/>
      <c r="J86" s="5"/>
      <c r="K86" s="5"/>
      <c r="L86" s="21"/>
      <c r="N86" s="5"/>
      <c r="O86" s="5"/>
      <c r="P86" s="5"/>
    </row>
    <row r="87" spans="1:16" ht="18">
      <c r="A87" s="32"/>
      <c r="B87" s="5"/>
      <c r="C87" s="5"/>
      <c r="D87" s="120"/>
      <c r="E87" s="5"/>
      <c r="F87" s="5"/>
      <c r="G87" s="5"/>
      <c r="H87" s="5"/>
      <c r="I87" s="5"/>
      <c r="J87" s="5"/>
      <c r="K87" s="5"/>
      <c r="L87" s="21"/>
      <c r="N87" s="5"/>
      <c r="O87" s="5"/>
      <c r="P87" s="5"/>
    </row>
    <row r="88" spans="1:16" ht="20.25">
      <c r="A88" s="86" t="s">
        <v>186</v>
      </c>
      <c r="B88" s="5"/>
      <c r="C88" s="5"/>
      <c r="D88" s="5"/>
      <c r="E88" s="5"/>
      <c r="F88" s="83"/>
      <c r="G88" s="5"/>
      <c r="H88" s="5"/>
      <c r="I88" s="5"/>
      <c r="J88" s="5"/>
      <c r="K88" s="5"/>
      <c r="L88" s="21"/>
      <c r="N88" s="5"/>
      <c r="O88" s="5"/>
      <c r="P88" s="5"/>
    </row>
    <row r="89" spans="1:16" ht="12.75">
      <c r="A89" s="82" t="s">
        <v>188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21"/>
      <c r="N89" s="5"/>
      <c r="O89" s="5"/>
      <c r="P89" s="5"/>
    </row>
    <row r="90" spans="1:16" ht="12.75">
      <c r="A90" s="82" t="s">
        <v>199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21"/>
      <c r="N90" s="5"/>
      <c r="O90" s="5"/>
      <c r="P90" s="5"/>
    </row>
    <row r="91" spans="1:16" ht="12.75">
      <c r="A91" s="82" t="s">
        <v>197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21"/>
      <c r="N91" s="5"/>
      <c r="O91" s="5"/>
      <c r="P91" s="5"/>
    </row>
    <row r="92" spans="1:16" ht="12.75">
      <c r="A92" s="82" t="s">
        <v>200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21"/>
      <c r="N92" s="5"/>
      <c r="O92" s="5"/>
      <c r="P92" s="5"/>
    </row>
    <row r="93" spans="1:16" ht="12.75">
      <c r="A93" s="82" t="s">
        <v>192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21"/>
      <c r="N93" s="5"/>
      <c r="O93" s="5"/>
      <c r="P93" s="5"/>
    </row>
    <row r="94" spans="1:16" ht="12.75">
      <c r="A94" s="82" t="s">
        <v>201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21"/>
      <c r="N94" s="5"/>
      <c r="O94" s="5"/>
      <c r="P94" s="5"/>
    </row>
    <row r="95" spans="1:16" ht="12.75">
      <c r="A95" s="82"/>
      <c r="B95" s="5"/>
      <c r="C95" s="5"/>
      <c r="D95" s="121" t="s">
        <v>193</v>
      </c>
      <c r="E95" s="5"/>
      <c r="F95" s="5"/>
      <c r="G95" s="5"/>
      <c r="H95" s="5"/>
      <c r="I95" s="5"/>
      <c r="J95" s="5"/>
      <c r="K95" s="5"/>
      <c r="L95" s="21"/>
      <c r="N95" s="5"/>
      <c r="O95" s="5"/>
      <c r="P95" s="5"/>
    </row>
    <row r="96" spans="1:16" ht="12.75">
      <c r="A96" s="82"/>
      <c r="B96" s="5"/>
      <c r="C96" s="5"/>
      <c r="D96" s="121" t="s">
        <v>194</v>
      </c>
      <c r="E96" s="121" t="s">
        <v>195</v>
      </c>
      <c r="F96" s="5"/>
      <c r="G96" s="5"/>
      <c r="H96" s="5"/>
      <c r="I96" s="5"/>
      <c r="J96" s="5"/>
      <c r="K96" s="5"/>
      <c r="L96" s="21"/>
      <c r="N96" s="5"/>
      <c r="O96" s="5"/>
      <c r="P96" s="5"/>
    </row>
    <row r="97" spans="1:16" ht="18">
      <c r="A97" s="32" t="s">
        <v>168</v>
      </c>
      <c r="B97" s="5"/>
      <c r="C97" s="5"/>
      <c r="D97" s="122"/>
      <c r="E97" s="123">
        <v>0.2</v>
      </c>
      <c r="F97" s="5"/>
      <c r="G97" s="5"/>
      <c r="H97" s="5"/>
      <c r="I97" s="5"/>
      <c r="J97" s="5"/>
      <c r="K97" s="5"/>
      <c r="L97" s="21"/>
      <c r="N97" s="5"/>
      <c r="O97" s="5"/>
      <c r="P97" s="5"/>
    </row>
    <row r="98" spans="1:16" ht="18">
      <c r="A98" s="32"/>
      <c r="B98" s="5"/>
      <c r="C98" s="5"/>
      <c r="D98" s="120"/>
      <c r="E98" s="124"/>
      <c r="F98" s="120"/>
      <c r="G98" s="5"/>
      <c r="H98" s="5"/>
      <c r="I98" s="5"/>
      <c r="J98" s="5"/>
      <c r="K98" s="5"/>
      <c r="L98" s="21"/>
      <c r="N98" s="5"/>
      <c r="O98" s="5"/>
      <c r="P98" s="5"/>
    </row>
    <row r="99" spans="1:16" ht="20.25">
      <c r="A99" s="86" t="s">
        <v>187</v>
      </c>
      <c r="B99" s="5"/>
      <c r="C99" s="5"/>
      <c r="D99" s="5"/>
      <c r="E99" s="5"/>
      <c r="F99" s="83"/>
      <c r="G99" s="5"/>
      <c r="H99" s="5"/>
      <c r="I99" s="5"/>
      <c r="J99" s="5"/>
      <c r="K99" s="5"/>
      <c r="L99" s="21"/>
      <c r="N99" s="5"/>
      <c r="O99" s="5"/>
      <c r="P99" s="5"/>
    </row>
    <row r="100" spans="1:16" ht="12.75">
      <c r="A100" s="82" t="s">
        <v>202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21"/>
      <c r="N100" s="5"/>
      <c r="O100" s="5"/>
      <c r="P100" s="5"/>
    </row>
    <row r="101" spans="1:16" ht="12.75">
      <c r="A101" s="82" t="s">
        <v>203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21"/>
      <c r="N101" s="5"/>
      <c r="O101" s="5"/>
      <c r="P101" s="5"/>
    </row>
    <row r="102" spans="1:16" ht="12.75">
      <c r="A102" s="82" t="s">
        <v>189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1"/>
      <c r="N102" s="5"/>
      <c r="O102" s="5"/>
      <c r="P102" s="5"/>
    </row>
    <row r="103" spans="1:16" ht="12.75">
      <c r="A103" s="82" t="s">
        <v>204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21"/>
      <c r="N103" s="5"/>
      <c r="O103" s="5"/>
      <c r="P103" s="5"/>
    </row>
    <row r="104" spans="1:16" ht="12.75">
      <c r="A104" s="82" t="s">
        <v>205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21"/>
      <c r="N104" s="5"/>
      <c r="O104" s="5"/>
      <c r="P104" s="5"/>
    </row>
    <row r="105" spans="1:16" ht="12.75">
      <c r="A105" s="82" t="s">
        <v>206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21"/>
      <c r="N105" s="5"/>
      <c r="O105" s="5"/>
      <c r="P105" s="5"/>
    </row>
    <row r="106" spans="1:16" ht="12.75">
      <c r="A106" s="82"/>
      <c r="B106" s="5"/>
      <c r="C106" s="5"/>
      <c r="D106" s="121" t="s">
        <v>193</v>
      </c>
      <c r="E106" s="5"/>
      <c r="F106" s="5"/>
      <c r="G106" s="5"/>
      <c r="H106" s="5"/>
      <c r="I106" s="5"/>
      <c r="J106" s="5"/>
      <c r="K106" s="5"/>
      <c r="L106" s="21"/>
      <c r="N106" s="5"/>
      <c r="O106" s="5"/>
      <c r="P106" s="5"/>
    </row>
    <row r="107" spans="1:16" ht="12.75">
      <c r="A107" s="82"/>
      <c r="B107" s="5"/>
      <c r="C107" s="5"/>
      <c r="D107" s="121" t="s">
        <v>194</v>
      </c>
      <c r="E107" s="121" t="s">
        <v>195</v>
      </c>
      <c r="F107" s="5"/>
      <c r="G107" s="5"/>
      <c r="H107" s="5"/>
      <c r="I107" s="5"/>
      <c r="J107" s="5"/>
      <c r="K107" s="5"/>
      <c r="L107" s="21"/>
      <c r="N107" s="5"/>
      <c r="O107" s="5"/>
      <c r="P107" s="5"/>
    </row>
    <row r="108" spans="1:16" ht="18">
      <c r="A108" s="32" t="s">
        <v>168</v>
      </c>
      <c r="B108" s="5"/>
      <c r="C108" s="5"/>
      <c r="D108" s="122"/>
      <c r="E108" s="123">
        <v>0.2</v>
      </c>
      <c r="F108" s="5"/>
      <c r="G108" s="5"/>
      <c r="H108" s="5"/>
      <c r="I108" s="5"/>
      <c r="J108" s="5"/>
      <c r="K108" s="5"/>
      <c r="L108" s="21"/>
      <c r="N108" s="5"/>
      <c r="O108" s="5"/>
      <c r="P108" s="5"/>
    </row>
    <row r="109" spans="1:16" ht="12.75">
      <c r="A109" s="8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21"/>
      <c r="N109" s="5"/>
      <c r="O109" s="5"/>
      <c r="P109" s="5"/>
    </row>
    <row r="110" spans="1:16" ht="20.25">
      <c r="A110" s="86" t="s">
        <v>196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21"/>
      <c r="N110" s="5"/>
      <c r="O110" s="5"/>
      <c r="P110" s="5"/>
    </row>
    <row r="111" spans="1:16" ht="12.75">
      <c r="A111" s="8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21"/>
      <c r="N111" s="5"/>
      <c r="O111" s="5"/>
      <c r="P111" s="5"/>
    </row>
    <row r="112" spans="1:16" ht="12.75">
      <c r="A112" s="8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21"/>
      <c r="N112" s="5"/>
      <c r="O112" s="5"/>
      <c r="P112" s="5"/>
    </row>
    <row r="113" spans="1:16" ht="14.25" customHeight="1">
      <c r="A113" s="8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21"/>
      <c r="M113" s="5"/>
      <c r="N113" s="5"/>
      <c r="O113" s="5"/>
      <c r="P113" s="5"/>
    </row>
    <row r="114" spans="1:16" ht="20.25">
      <c r="A114" s="81" t="s">
        <v>185</v>
      </c>
      <c r="B114" s="5"/>
      <c r="C114" s="5"/>
      <c r="D114" s="126">
        <f>+D86</f>
        <v>0</v>
      </c>
      <c r="E114" s="127">
        <f>+E86</f>
        <v>0.6</v>
      </c>
      <c r="F114" s="126">
        <f>+E114*D114</f>
        <v>0</v>
      </c>
      <c r="G114" s="5"/>
      <c r="H114" s="5"/>
      <c r="I114" s="5"/>
      <c r="J114" s="5"/>
      <c r="K114" s="5"/>
      <c r="L114" s="21"/>
      <c r="M114" s="5"/>
      <c r="N114" s="5"/>
      <c r="O114" s="5"/>
      <c r="P114" s="5"/>
    </row>
    <row r="115" spans="1:16" ht="20.25">
      <c r="A115" s="81" t="str">
        <f>+A88</f>
        <v>Pessimistic Scenario:</v>
      </c>
      <c r="B115" s="5"/>
      <c r="C115" s="5"/>
      <c r="D115" s="126">
        <f>+D97</f>
        <v>0</v>
      </c>
      <c r="E115" s="127">
        <f>+E108</f>
        <v>0.2</v>
      </c>
      <c r="F115" s="126">
        <f>+E115*D115</f>
        <v>0</v>
      </c>
      <c r="G115" s="5"/>
      <c r="H115" s="5"/>
      <c r="I115" s="5"/>
      <c r="J115" s="5"/>
      <c r="K115" s="5"/>
      <c r="L115" s="21"/>
      <c r="M115" s="5"/>
      <c r="N115" s="5"/>
      <c r="O115" s="5"/>
      <c r="P115" s="5"/>
    </row>
    <row r="116" spans="1:16" ht="20.25">
      <c r="A116" s="81" t="str">
        <f>+A99</f>
        <v>Optimistic Scenario:</v>
      </c>
      <c r="B116" s="5"/>
      <c r="C116" s="5"/>
      <c r="D116" s="126">
        <f>+D108</f>
        <v>0</v>
      </c>
      <c r="E116" s="127">
        <f>+E108</f>
        <v>0.2</v>
      </c>
      <c r="F116" s="126">
        <f>+E116*D116</f>
        <v>0</v>
      </c>
      <c r="G116" s="5"/>
      <c r="H116" s="5"/>
      <c r="I116" s="5"/>
      <c r="J116" s="5"/>
      <c r="K116" s="5"/>
      <c r="L116" s="21"/>
      <c r="M116" s="5"/>
      <c r="N116" s="5"/>
      <c r="O116" s="5"/>
      <c r="P116" s="5"/>
    </row>
    <row r="117" spans="1:16" ht="20.25">
      <c r="A117" s="86" t="s">
        <v>207</v>
      </c>
      <c r="B117" s="5"/>
      <c r="C117" s="5"/>
      <c r="D117" s="5"/>
      <c r="E117" s="5"/>
      <c r="F117" s="125">
        <f>SUM(F114:F116)</f>
        <v>0</v>
      </c>
      <c r="G117" s="5"/>
      <c r="H117" s="5"/>
      <c r="I117" s="5"/>
      <c r="J117" s="5"/>
      <c r="K117" s="5"/>
      <c r="L117" s="21"/>
      <c r="M117" s="5"/>
      <c r="N117" s="5"/>
      <c r="O117" s="5"/>
      <c r="P117" s="5"/>
    </row>
    <row r="118" spans="2:1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21"/>
      <c r="M118" s="5"/>
      <c r="N118" s="5"/>
      <c r="O118" s="5"/>
      <c r="P118" s="5"/>
    </row>
    <row r="119" spans="2:1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21"/>
      <c r="M119" s="5"/>
      <c r="N119" s="5"/>
      <c r="O119" s="5"/>
      <c r="P119" s="5"/>
    </row>
    <row r="120" spans="2:1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1"/>
      <c r="M120" s="5"/>
      <c r="N120" s="5"/>
      <c r="O120" s="5"/>
      <c r="P120" s="5"/>
    </row>
    <row r="121" spans="2:1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1"/>
      <c r="M121" s="5"/>
      <c r="N121" s="5"/>
      <c r="O121" s="5"/>
      <c r="P121" s="5"/>
    </row>
    <row r="122" spans="2:1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1"/>
      <c r="M122" s="5"/>
      <c r="N122" s="5"/>
      <c r="O122" s="5"/>
      <c r="P122" s="5"/>
    </row>
    <row r="123" spans="2:1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1"/>
      <c r="M123" s="5"/>
      <c r="N123" s="5"/>
      <c r="O123" s="5"/>
      <c r="P123" s="5"/>
    </row>
    <row r="124" ht="18">
      <c r="A124" s="32" t="s">
        <v>144</v>
      </c>
    </row>
    <row r="125" spans="1:32" ht="13.5" thickBot="1">
      <c r="A125" s="87" t="s">
        <v>89</v>
      </c>
      <c r="B125" s="88">
        <f>+B47</f>
        <v>2008</v>
      </c>
      <c r="C125" s="88">
        <f>+B125+1</f>
        <v>2009</v>
      </c>
      <c r="D125" s="88">
        <f aca="true" t="shared" si="20" ref="D125:AE125">+C125+1</f>
        <v>2010</v>
      </c>
      <c r="E125" s="88">
        <f t="shared" si="20"/>
        <v>2011</v>
      </c>
      <c r="F125" s="88">
        <f t="shared" si="20"/>
        <v>2012</v>
      </c>
      <c r="G125" s="88">
        <f t="shared" si="20"/>
        <v>2013</v>
      </c>
      <c r="H125" s="88">
        <f t="shared" si="20"/>
        <v>2014</v>
      </c>
      <c r="I125" s="88">
        <f t="shared" si="20"/>
        <v>2015</v>
      </c>
      <c r="J125" s="88">
        <f t="shared" si="20"/>
        <v>2016</v>
      </c>
      <c r="K125" s="88">
        <f t="shared" si="20"/>
        <v>2017</v>
      </c>
      <c r="L125" s="88">
        <f t="shared" si="20"/>
        <v>2018</v>
      </c>
      <c r="M125" s="88">
        <f t="shared" si="20"/>
        <v>2019</v>
      </c>
      <c r="N125" s="88">
        <f t="shared" si="20"/>
        <v>2020</v>
      </c>
      <c r="O125" s="88">
        <f t="shared" si="20"/>
        <v>2021</v>
      </c>
      <c r="P125" s="88">
        <f t="shared" si="20"/>
        <v>2022</v>
      </c>
      <c r="Q125" s="88">
        <f t="shared" si="20"/>
        <v>2023</v>
      </c>
      <c r="R125" s="88">
        <f t="shared" si="20"/>
        <v>2024</v>
      </c>
      <c r="S125" s="88">
        <f t="shared" si="20"/>
        <v>2025</v>
      </c>
      <c r="T125" s="88">
        <f t="shared" si="20"/>
        <v>2026</v>
      </c>
      <c r="U125" s="88">
        <f t="shared" si="20"/>
        <v>2027</v>
      </c>
      <c r="V125" s="88">
        <f t="shared" si="20"/>
        <v>2028</v>
      </c>
      <c r="W125" s="88">
        <f t="shared" si="20"/>
        <v>2029</v>
      </c>
      <c r="X125" s="88">
        <f t="shared" si="20"/>
        <v>2030</v>
      </c>
      <c r="Y125" s="88">
        <f t="shared" si="20"/>
        <v>2031</v>
      </c>
      <c r="Z125" s="88">
        <f t="shared" si="20"/>
        <v>2032</v>
      </c>
      <c r="AA125" s="88">
        <f t="shared" si="20"/>
        <v>2033</v>
      </c>
      <c r="AB125" s="88">
        <f t="shared" si="20"/>
        <v>2034</v>
      </c>
      <c r="AC125" s="88">
        <f t="shared" si="20"/>
        <v>2035</v>
      </c>
      <c r="AD125" s="88">
        <f t="shared" si="20"/>
        <v>2036</v>
      </c>
      <c r="AE125" s="88">
        <f t="shared" si="20"/>
        <v>2037</v>
      </c>
      <c r="AF125" s="88">
        <f>+AE125+1</f>
        <v>2038</v>
      </c>
    </row>
    <row r="126" spans="1:34" ht="12.75">
      <c r="A126" s="96" t="s">
        <v>15</v>
      </c>
      <c r="B126" s="58">
        <v>120735</v>
      </c>
      <c r="C126" s="58">
        <f aca="true" t="shared" si="21" ref="C126:AF126">+C27*C36</f>
        <v>139062.4547</v>
      </c>
      <c r="D126" s="58">
        <f t="shared" si="21"/>
        <v>151941.77742760003</v>
      </c>
      <c r="E126" s="58">
        <f t="shared" si="21"/>
        <v>165865.99404559203</v>
      </c>
      <c r="F126" s="58">
        <f t="shared" si="21"/>
        <v>178366.03997366564</v>
      </c>
      <c r="G126" s="58">
        <f t="shared" si="21"/>
        <v>189068.0023720856</v>
      </c>
      <c r="H126" s="58">
        <f t="shared" si="21"/>
        <v>200412.08251441075</v>
      </c>
      <c r="I126" s="58">
        <f t="shared" si="21"/>
        <v>212436.8074652754</v>
      </c>
      <c r="J126" s="58">
        <f t="shared" si="21"/>
        <v>225183.01591319195</v>
      </c>
      <c r="K126" s="58">
        <f t="shared" si="21"/>
        <v>238693.9968679835</v>
      </c>
      <c r="L126" s="58">
        <f t="shared" si="21"/>
        <v>253015.63668006248</v>
      </c>
      <c r="M126" s="58">
        <f t="shared" si="21"/>
        <v>268196.5748808663</v>
      </c>
      <c r="N126" s="58">
        <f t="shared" si="21"/>
        <v>284288.3693737183</v>
      </c>
      <c r="O126" s="58">
        <f t="shared" si="21"/>
        <v>301345.67153614137</v>
      </c>
      <c r="P126" s="58">
        <f t="shared" si="21"/>
        <v>319426.4118283099</v>
      </c>
      <c r="Q126" s="58">
        <f t="shared" si="21"/>
        <v>332203.46830144234</v>
      </c>
      <c r="R126" s="58">
        <f t="shared" si="21"/>
        <v>345491.60703350004</v>
      </c>
      <c r="S126" s="58">
        <f t="shared" si="21"/>
        <v>359311.27131484</v>
      </c>
      <c r="T126" s="58">
        <f t="shared" si="21"/>
        <v>373683.72216743365</v>
      </c>
      <c r="U126" s="58">
        <f t="shared" si="21"/>
        <v>388631.07105413097</v>
      </c>
      <c r="V126" s="58">
        <f t="shared" si="21"/>
        <v>404176.31389629625</v>
      </c>
      <c r="W126" s="58">
        <f t="shared" si="21"/>
        <v>420343.36645214807</v>
      </c>
      <c r="X126" s="58">
        <f t="shared" si="21"/>
        <v>437157.10111023404</v>
      </c>
      <c r="Y126" s="58">
        <f t="shared" si="21"/>
        <v>454643.38515464345</v>
      </c>
      <c r="Z126" s="58">
        <f t="shared" si="21"/>
        <v>472829.12056082924</v>
      </c>
      <c r="AA126" s="58">
        <f t="shared" si="21"/>
        <v>491742.2853832624</v>
      </c>
      <c r="AB126" s="58">
        <f t="shared" si="21"/>
        <v>511411.9767985929</v>
      </c>
      <c r="AC126" s="58">
        <f t="shared" si="21"/>
        <v>531868.4558705366</v>
      </c>
      <c r="AD126" s="58">
        <f t="shared" si="21"/>
        <v>553143.1941053581</v>
      </c>
      <c r="AE126" s="58">
        <f t="shared" si="21"/>
        <v>575268.9218695725</v>
      </c>
      <c r="AF126" s="58">
        <f t="shared" si="21"/>
        <v>598279.6787443553</v>
      </c>
      <c r="AH126" s="4"/>
    </row>
    <row r="127" spans="1:34" ht="12.75">
      <c r="A127" s="96" t="s">
        <v>98</v>
      </c>
      <c r="B127" s="58">
        <v>388098</v>
      </c>
      <c r="C127" s="58">
        <f aca="true" t="shared" si="22" ref="C127:AF127">+C28*C36</f>
        <v>374398.91649999993</v>
      </c>
      <c r="D127" s="58">
        <f t="shared" si="22"/>
        <v>401398.4269356</v>
      </c>
      <c r="E127" s="58">
        <f t="shared" si="22"/>
        <v>430290.04252407205</v>
      </c>
      <c r="F127" s="58">
        <f t="shared" si="22"/>
        <v>461203.61764619255</v>
      </c>
      <c r="G127" s="58">
        <f t="shared" si="22"/>
        <v>494277.7776298809</v>
      </c>
      <c r="H127" s="58">
        <f t="shared" si="22"/>
        <v>529660.5037880854</v>
      </c>
      <c r="I127" s="58">
        <f t="shared" si="22"/>
        <v>561440.1340153706</v>
      </c>
      <c r="J127" s="58">
        <f t="shared" si="22"/>
        <v>595126.542056293</v>
      </c>
      <c r="K127" s="58">
        <f t="shared" si="22"/>
        <v>630834.1345796706</v>
      </c>
      <c r="L127" s="58">
        <f t="shared" si="22"/>
        <v>668684.1826544508</v>
      </c>
      <c r="M127" s="58">
        <f t="shared" si="22"/>
        <v>708805.2336137178</v>
      </c>
      <c r="N127" s="58">
        <f t="shared" si="22"/>
        <v>751333.547630541</v>
      </c>
      <c r="O127" s="58">
        <f t="shared" si="22"/>
        <v>796413.5604883736</v>
      </c>
      <c r="P127" s="58">
        <f t="shared" si="22"/>
        <v>844198.374117676</v>
      </c>
      <c r="Q127" s="58">
        <f t="shared" si="22"/>
        <v>877966.3090823832</v>
      </c>
      <c r="R127" s="58">
        <f t="shared" si="22"/>
        <v>913084.9614456786</v>
      </c>
      <c r="S127" s="58">
        <f t="shared" si="22"/>
        <v>949608.3599035057</v>
      </c>
      <c r="T127" s="58">
        <f t="shared" si="22"/>
        <v>987592.694299646</v>
      </c>
      <c r="U127" s="58">
        <f t="shared" si="22"/>
        <v>1027096.4020716317</v>
      </c>
      <c r="V127" s="58">
        <f t="shared" si="22"/>
        <v>1068180.258154497</v>
      </c>
      <c r="W127" s="58">
        <f t="shared" si="22"/>
        <v>1110907.4684806769</v>
      </c>
      <c r="X127" s="58">
        <f t="shared" si="22"/>
        <v>1155343.767219904</v>
      </c>
      <c r="Y127" s="58">
        <f t="shared" si="22"/>
        <v>1201557.5179087003</v>
      </c>
      <c r="Z127" s="58">
        <f t="shared" si="22"/>
        <v>1249619.8186250485</v>
      </c>
      <c r="AA127" s="58">
        <f t="shared" si="22"/>
        <v>1299604.6113700503</v>
      </c>
      <c r="AB127" s="58">
        <f t="shared" si="22"/>
        <v>1351588.7958248525</v>
      </c>
      <c r="AC127" s="58">
        <f t="shared" si="22"/>
        <v>1405652.3476578468</v>
      </c>
      <c r="AD127" s="58">
        <f t="shared" si="22"/>
        <v>1461878.4415641606</v>
      </c>
      <c r="AE127" s="58">
        <f t="shared" si="22"/>
        <v>1520353.579226727</v>
      </c>
      <c r="AF127" s="58">
        <f t="shared" si="22"/>
        <v>1581167.722395796</v>
      </c>
      <c r="AH127" s="4"/>
    </row>
    <row r="128" spans="1:34" ht="12.75">
      <c r="A128" s="96" t="s">
        <v>113</v>
      </c>
      <c r="B128" s="58">
        <v>284825</v>
      </c>
      <c r="C128" s="58">
        <f aca="true" t="shared" si="23" ref="C128:AF128">+C29*C37</f>
        <v>269695.58522280003</v>
      </c>
      <c r="D128" s="58">
        <f t="shared" si="23"/>
        <v>291864.27992436005</v>
      </c>
      <c r="E128" s="58">
        <f t="shared" si="23"/>
        <v>315722.3138833052</v>
      </c>
      <c r="F128" s="58">
        <f t="shared" si="23"/>
        <v>343074.33745791914</v>
      </c>
      <c r="G128" s="58">
        <f t="shared" si="23"/>
        <v>372572.003531507</v>
      </c>
      <c r="H128" s="58">
        <f t="shared" si="23"/>
        <v>406263.9215542126</v>
      </c>
      <c r="I128" s="58">
        <f t="shared" si="23"/>
        <v>440654.6349136855</v>
      </c>
      <c r="J128" s="58">
        <f t="shared" si="23"/>
        <v>477709.6837587001</v>
      </c>
      <c r="K128" s="58">
        <f t="shared" si="23"/>
        <v>506372.26478422206</v>
      </c>
      <c r="L128" s="58">
        <f t="shared" si="23"/>
        <v>536754.6006712754</v>
      </c>
      <c r="M128" s="58">
        <f t="shared" si="23"/>
        <v>568959.8767115519</v>
      </c>
      <c r="N128" s="58">
        <f t="shared" si="23"/>
        <v>603097.4693142452</v>
      </c>
      <c r="O128" s="58">
        <f t="shared" si="23"/>
        <v>639283.3174730999</v>
      </c>
      <c r="P128" s="58">
        <f t="shared" si="23"/>
        <v>677640.3165214859</v>
      </c>
      <c r="Q128" s="58">
        <f t="shared" si="23"/>
        <v>704745.9291823455</v>
      </c>
      <c r="R128" s="58">
        <f t="shared" si="23"/>
        <v>732935.7663496394</v>
      </c>
      <c r="S128" s="58">
        <f t="shared" si="23"/>
        <v>762253.1970036249</v>
      </c>
      <c r="T128" s="58">
        <f t="shared" si="23"/>
        <v>792743.32488377</v>
      </c>
      <c r="U128" s="58">
        <f t="shared" si="23"/>
        <v>824453.0578791207</v>
      </c>
      <c r="V128" s="58">
        <f t="shared" si="23"/>
        <v>857431.1801942856</v>
      </c>
      <c r="W128" s="58">
        <f t="shared" si="23"/>
        <v>891728.427402057</v>
      </c>
      <c r="X128" s="58">
        <f t="shared" si="23"/>
        <v>927397.5644981393</v>
      </c>
      <c r="Y128" s="58">
        <f t="shared" si="23"/>
        <v>964493.4670780649</v>
      </c>
      <c r="Z128" s="58">
        <f t="shared" si="23"/>
        <v>1003073.2057611876</v>
      </c>
      <c r="AA128" s="58">
        <f t="shared" si="23"/>
        <v>1043196.1339916353</v>
      </c>
      <c r="AB128" s="58">
        <f t="shared" si="23"/>
        <v>1084923.9793513005</v>
      </c>
      <c r="AC128" s="58">
        <f t="shared" si="23"/>
        <v>1128320.9385253529</v>
      </c>
      <c r="AD128" s="58">
        <f t="shared" si="23"/>
        <v>1173453.7760663666</v>
      </c>
      <c r="AE128" s="58">
        <f t="shared" si="23"/>
        <v>1220391.9271090217</v>
      </c>
      <c r="AF128" s="58">
        <f t="shared" si="23"/>
        <v>1269207.6041933824</v>
      </c>
      <c r="AH128" s="4"/>
    </row>
    <row r="129" spans="1:34" ht="13.5" thickBot="1">
      <c r="A129" s="96" t="s">
        <v>114</v>
      </c>
      <c r="B129" s="59">
        <f>135864+224550</f>
        <v>360414</v>
      </c>
      <c r="C129" s="59">
        <f aca="true" t="shared" si="24" ref="C129:AF129">+C30*C36</f>
        <v>314495.08985999995</v>
      </c>
      <c r="D129" s="59">
        <f t="shared" si="24"/>
        <v>344703.7338656</v>
      </c>
      <c r="E129" s="59">
        <f t="shared" si="24"/>
        <v>377405.23282837606</v>
      </c>
      <c r="F129" s="59">
        <f t="shared" si="24"/>
        <v>412789.97822476906</v>
      </c>
      <c r="G129" s="59">
        <f t="shared" si="24"/>
        <v>451062.2342305471</v>
      </c>
      <c r="H129" s="59">
        <f t="shared" si="24"/>
        <v>492441.11703540914</v>
      </c>
      <c r="I129" s="59">
        <f t="shared" si="24"/>
        <v>537161.6417336249</v>
      </c>
      <c r="J129" s="59">
        <f t="shared" si="24"/>
        <v>588692.7416016303</v>
      </c>
      <c r="K129" s="59">
        <f t="shared" si="24"/>
        <v>624014.3060977282</v>
      </c>
      <c r="L129" s="59">
        <f t="shared" si="24"/>
        <v>661455.1644635919</v>
      </c>
      <c r="M129" s="59">
        <f t="shared" si="24"/>
        <v>701142.4743314073</v>
      </c>
      <c r="N129" s="59">
        <f t="shared" si="24"/>
        <v>743211.0227912919</v>
      </c>
      <c r="O129" s="59">
        <f t="shared" si="24"/>
        <v>787803.6841587696</v>
      </c>
      <c r="P129" s="59">
        <f t="shared" si="24"/>
        <v>835071.9052082957</v>
      </c>
      <c r="Q129" s="59">
        <f t="shared" si="24"/>
        <v>868474.7814166277</v>
      </c>
      <c r="R129" s="59">
        <f t="shared" si="24"/>
        <v>903213.7726732929</v>
      </c>
      <c r="S129" s="59">
        <f t="shared" si="24"/>
        <v>939342.3235802245</v>
      </c>
      <c r="T129" s="59">
        <f t="shared" si="24"/>
        <v>976916.0165234335</v>
      </c>
      <c r="U129" s="59">
        <f t="shared" si="24"/>
        <v>1015992.6571843709</v>
      </c>
      <c r="V129" s="59">
        <f t="shared" si="24"/>
        <v>1056632.3634717457</v>
      </c>
      <c r="W129" s="59">
        <f t="shared" si="24"/>
        <v>1098897.6580106155</v>
      </c>
      <c r="X129" s="59">
        <f t="shared" si="24"/>
        <v>1142853.5643310403</v>
      </c>
      <c r="Y129" s="59">
        <f t="shared" si="24"/>
        <v>1188567.7069042819</v>
      </c>
      <c r="Z129" s="59">
        <f t="shared" si="24"/>
        <v>1236110.4151804533</v>
      </c>
      <c r="AA129" s="59">
        <f t="shared" si="24"/>
        <v>1285554.8317876714</v>
      </c>
      <c r="AB129" s="59">
        <f t="shared" si="24"/>
        <v>1336977.0250591782</v>
      </c>
      <c r="AC129" s="59">
        <f t="shared" si="24"/>
        <v>1390456.1060615457</v>
      </c>
      <c r="AD129" s="59">
        <f t="shared" si="24"/>
        <v>1446074.3503040075</v>
      </c>
      <c r="AE129" s="59">
        <f t="shared" si="24"/>
        <v>1503917.3243161677</v>
      </c>
      <c r="AF129" s="59">
        <f t="shared" si="24"/>
        <v>1564074.0172888145</v>
      </c>
      <c r="AH129" s="4"/>
    </row>
    <row r="130" spans="1:34" ht="12.75">
      <c r="A130" s="96" t="s">
        <v>165</v>
      </c>
      <c r="B130" s="60">
        <f>+B126+B127+B128-B129</f>
        <v>433244</v>
      </c>
      <c r="C130" s="60">
        <f aca="true" t="shared" si="25" ref="C130:AF130">+C126+C127+C128-C129</f>
        <v>468661.8665628</v>
      </c>
      <c r="D130" s="60">
        <f t="shared" si="25"/>
        <v>500500.75042195997</v>
      </c>
      <c r="E130" s="60">
        <f t="shared" si="25"/>
        <v>534473.1176245932</v>
      </c>
      <c r="F130" s="60">
        <f t="shared" si="25"/>
        <v>569854.0168530082</v>
      </c>
      <c r="G130" s="60">
        <f t="shared" si="25"/>
        <v>604855.5493029264</v>
      </c>
      <c r="H130" s="60">
        <f t="shared" si="25"/>
        <v>643895.3908212995</v>
      </c>
      <c r="I130" s="60">
        <f t="shared" si="25"/>
        <v>677369.9346607068</v>
      </c>
      <c r="J130" s="60">
        <f t="shared" si="25"/>
        <v>709326.5001265546</v>
      </c>
      <c r="K130" s="60">
        <f t="shared" si="25"/>
        <v>751886.090134148</v>
      </c>
      <c r="L130" s="60">
        <f t="shared" si="25"/>
        <v>796999.2555421967</v>
      </c>
      <c r="M130" s="60">
        <f t="shared" si="25"/>
        <v>844819.2108747289</v>
      </c>
      <c r="N130" s="60">
        <f t="shared" si="25"/>
        <v>895508.3635272124</v>
      </c>
      <c r="O130" s="60">
        <f t="shared" si="25"/>
        <v>949238.8653388455</v>
      </c>
      <c r="P130" s="60">
        <f t="shared" si="25"/>
        <v>1006193.197259176</v>
      </c>
      <c r="Q130" s="60">
        <f t="shared" si="25"/>
        <v>1046440.9251495433</v>
      </c>
      <c r="R130" s="60">
        <f t="shared" si="25"/>
        <v>1088298.5621555252</v>
      </c>
      <c r="S130" s="60">
        <f t="shared" si="25"/>
        <v>1131830.504641746</v>
      </c>
      <c r="T130" s="60">
        <f t="shared" si="25"/>
        <v>1177103.7248274162</v>
      </c>
      <c r="U130" s="60">
        <f t="shared" si="25"/>
        <v>1224187.8738205126</v>
      </c>
      <c r="V130" s="60">
        <f t="shared" si="25"/>
        <v>1273155.388773333</v>
      </c>
      <c r="W130" s="60">
        <f t="shared" si="25"/>
        <v>1324081.6043242668</v>
      </c>
      <c r="X130" s="60">
        <f t="shared" si="25"/>
        <v>1377044.868497237</v>
      </c>
      <c r="Y130" s="60">
        <f t="shared" si="25"/>
        <v>1432126.663237127</v>
      </c>
      <c r="Z130" s="60">
        <f t="shared" si="25"/>
        <v>1489411.7297666122</v>
      </c>
      <c r="AA130" s="60">
        <f t="shared" si="25"/>
        <v>1548988.1989572765</v>
      </c>
      <c r="AB130" s="60">
        <f t="shared" si="25"/>
        <v>1610947.7269155674</v>
      </c>
      <c r="AC130" s="60">
        <f t="shared" si="25"/>
        <v>1675385.6359921903</v>
      </c>
      <c r="AD130" s="60">
        <f t="shared" si="25"/>
        <v>1742401.0614318778</v>
      </c>
      <c r="AE130" s="60">
        <f t="shared" si="25"/>
        <v>1812097.1038891533</v>
      </c>
      <c r="AF130" s="60">
        <f t="shared" si="25"/>
        <v>1884580.9880447194</v>
      </c>
      <c r="AH130" s="4"/>
    </row>
    <row r="131" spans="1:32" ht="12.75">
      <c r="A131" s="96" t="s">
        <v>99</v>
      </c>
      <c r="B131" s="61">
        <f>+B130-(+N162+N163+N164-N179)</f>
        <v>61593</v>
      </c>
      <c r="C131" s="61">
        <f>+C130-B130</f>
        <v>35417.866562800016</v>
      </c>
      <c r="D131" s="61">
        <f aca="true" t="shared" si="26" ref="D131:AF131">+D130-C130</f>
        <v>31838.88385915995</v>
      </c>
      <c r="E131" s="61">
        <f t="shared" si="26"/>
        <v>33972.367202633235</v>
      </c>
      <c r="F131" s="61">
        <f t="shared" si="26"/>
        <v>35380.899228414986</v>
      </c>
      <c r="G131" s="61">
        <f t="shared" si="26"/>
        <v>35001.53244991822</v>
      </c>
      <c r="H131" s="61">
        <f t="shared" si="26"/>
        <v>39039.84151837311</v>
      </c>
      <c r="I131" s="61">
        <f t="shared" si="26"/>
        <v>33474.54383940727</v>
      </c>
      <c r="J131" s="61">
        <f t="shared" si="26"/>
        <v>31956.565465847845</v>
      </c>
      <c r="K131" s="61">
        <f t="shared" si="26"/>
        <v>42559.59000759339</v>
      </c>
      <c r="L131" s="61">
        <f t="shared" si="26"/>
        <v>45113.16540804866</v>
      </c>
      <c r="M131" s="61">
        <f t="shared" si="26"/>
        <v>47819.955332532176</v>
      </c>
      <c r="N131" s="61">
        <f t="shared" si="26"/>
        <v>50689.15265248355</v>
      </c>
      <c r="O131" s="61">
        <f t="shared" si="26"/>
        <v>53730.50181163312</v>
      </c>
      <c r="P131" s="61">
        <f t="shared" si="26"/>
        <v>56954.33192033053</v>
      </c>
      <c r="Q131" s="61">
        <f t="shared" si="26"/>
        <v>40247.72789036727</v>
      </c>
      <c r="R131" s="61">
        <f t="shared" si="26"/>
        <v>41857.63700598187</v>
      </c>
      <c r="S131" s="61">
        <f t="shared" si="26"/>
        <v>43531.94248622074</v>
      </c>
      <c r="T131" s="61">
        <f t="shared" si="26"/>
        <v>45273.2201856703</v>
      </c>
      <c r="U131" s="61">
        <f t="shared" si="26"/>
        <v>47084.148993096314</v>
      </c>
      <c r="V131" s="61">
        <f t="shared" si="26"/>
        <v>48967.51495282049</v>
      </c>
      <c r="W131" s="61">
        <f t="shared" si="26"/>
        <v>50926.21555093373</v>
      </c>
      <c r="X131" s="61">
        <f t="shared" si="26"/>
        <v>52963.26417297032</v>
      </c>
      <c r="Y131" s="61">
        <f t="shared" si="26"/>
        <v>55081.79473988991</v>
      </c>
      <c r="Z131" s="61">
        <f t="shared" si="26"/>
        <v>57285.066529485164</v>
      </c>
      <c r="AA131" s="61">
        <f t="shared" si="26"/>
        <v>59576.46919066436</v>
      </c>
      <c r="AB131" s="61">
        <f t="shared" si="26"/>
        <v>61959.527958290884</v>
      </c>
      <c r="AC131" s="61">
        <f t="shared" si="26"/>
        <v>64437.90907662292</v>
      </c>
      <c r="AD131" s="61">
        <f t="shared" si="26"/>
        <v>67015.42543968745</v>
      </c>
      <c r="AE131" s="61">
        <f t="shared" si="26"/>
        <v>69696.04245727556</v>
      </c>
      <c r="AF131" s="61">
        <f t="shared" si="26"/>
        <v>72483.8841555661</v>
      </c>
    </row>
    <row r="133" ht="12.75">
      <c r="A133" t="s">
        <v>100</v>
      </c>
    </row>
    <row r="134" spans="1:34" ht="12.75">
      <c r="A134" t="s">
        <v>104</v>
      </c>
      <c r="B134" s="5">
        <v>293380</v>
      </c>
      <c r="C134" s="5">
        <f>+B138</f>
        <v>305012</v>
      </c>
      <c r="D134" s="5">
        <f>+C138</f>
        <v>304867.68914999993</v>
      </c>
      <c r="E134" s="5">
        <f>+D138</f>
        <v>329963.1136674</v>
      </c>
      <c r="F134" s="5">
        <f aca="true" t="shared" si="27" ref="F134:AF134">+B138</f>
        <v>305012</v>
      </c>
      <c r="G134" s="5">
        <f t="shared" si="27"/>
        <v>304867.68914999993</v>
      </c>
      <c r="H134" s="5">
        <f t="shared" si="27"/>
        <v>329963.1136674</v>
      </c>
      <c r="I134" s="5">
        <f t="shared" si="27"/>
        <v>356972.46544594807</v>
      </c>
      <c r="J134" s="5">
        <f t="shared" si="27"/>
        <v>386035.0722287192</v>
      </c>
      <c r="K134" s="5">
        <f t="shared" si="27"/>
        <v>409197.1765624424</v>
      </c>
      <c r="L134" s="5">
        <f t="shared" si="27"/>
        <v>433749.0071561889</v>
      </c>
      <c r="M134" s="5">
        <f t="shared" si="27"/>
        <v>459773.94758556026</v>
      </c>
      <c r="N134" s="5">
        <f t="shared" si="27"/>
        <v>487360.38444069395</v>
      </c>
      <c r="O134" s="5">
        <f t="shared" si="27"/>
        <v>516602.0075071356</v>
      </c>
      <c r="P134" s="5">
        <f t="shared" si="27"/>
        <v>547598.1279575637</v>
      </c>
      <c r="Q134" s="5">
        <f t="shared" si="27"/>
        <v>580454.0156350175</v>
      </c>
      <c r="R134" s="5">
        <f t="shared" si="27"/>
        <v>615281.2565731187</v>
      </c>
      <c r="S134" s="5">
        <f t="shared" si="27"/>
        <v>652198.1319675059</v>
      </c>
      <c r="T134" s="5">
        <f t="shared" si="27"/>
        <v>691330.0198855563</v>
      </c>
      <c r="U134" s="5">
        <f t="shared" si="27"/>
        <v>718983.2206809786</v>
      </c>
      <c r="V134" s="5">
        <f t="shared" si="27"/>
        <v>747742.5495082178</v>
      </c>
      <c r="W134" s="5">
        <f t="shared" si="27"/>
        <v>777652.2514885466</v>
      </c>
      <c r="X134" s="5">
        <f t="shared" si="27"/>
        <v>808758.3415480885</v>
      </c>
      <c r="Y134" s="5">
        <f t="shared" si="27"/>
        <v>841108.6752100119</v>
      </c>
      <c r="Z134" s="5">
        <f t="shared" si="27"/>
        <v>874753.0222184125</v>
      </c>
      <c r="AA134" s="5">
        <f t="shared" si="27"/>
        <v>909743.1431071489</v>
      </c>
      <c r="AB134" s="5">
        <f t="shared" si="27"/>
        <v>946132.868831435</v>
      </c>
      <c r="AC134" s="5">
        <f t="shared" si="27"/>
        <v>983978.1835846924</v>
      </c>
      <c r="AD134" s="5">
        <f t="shared" si="27"/>
        <v>1023337.3109280802</v>
      </c>
      <c r="AE134" s="5">
        <f t="shared" si="27"/>
        <v>1064270.8033652036</v>
      </c>
      <c r="AF134" s="5">
        <f t="shared" si="27"/>
        <v>1106841.6354998115</v>
      </c>
      <c r="AH134" s="4"/>
    </row>
    <row r="135" spans="1:34" ht="12.75">
      <c r="A135" t="s">
        <v>101</v>
      </c>
      <c r="B135" s="5">
        <f aca="true" t="shared" si="28" ref="B135:AF135">+B39</f>
        <v>61484</v>
      </c>
      <c r="C135" s="5">
        <f t="shared" si="28"/>
        <v>57952.28</v>
      </c>
      <c r="D135" s="5">
        <f t="shared" si="28"/>
        <v>57924.86093849999</v>
      </c>
      <c r="E135" s="5">
        <f t="shared" si="28"/>
        <v>62692.991596805994</v>
      </c>
      <c r="F135" s="5">
        <f t="shared" si="28"/>
        <v>67824.76843473014</v>
      </c>
      <c r="G135" s="5">
        <f t="shared" si="28"/>
        <v>73346.66372345664</v>
      </c>
      <c r="H135" s="5">
        <f t="shared" si="28"/>
        <v>77747.46354686405</v>
      </c>
      <c r="I135" s="5">
        <f t="shared" si="28"/>
        <v>82412.31135967589</v>
      </c>
      <c r="J135" s="5">
        <f t="shared" si="28"/>
        <v>87357.05004125646</v>
      </c>
      <c r="K135" s="5">
        <f t="shared" si="28"/>
        <v>92598.47304373185</v>
      </c>
      <c r="L135" s="5">
        <f t="shared" si="28"/>
        <v>98154.38142635577</v>
      </c>
      <c r="M135" s="5">
        <f t="shared" si="28"/>
        <v>104043.64431193711</v>
      </c>
      <c r="N135" s="5">
        <f t="shared" si="28"/>
        <v>110286.26297065333</v>
      </c>
      <c r="O135" s="5">
        <f t="shared" si="28"/>
        <v>116903.43874889256</v>
      </c>
      <c r="P135" s="5">
        <f t="shared" si="28"/>
        <v>123917.64507382612</v>
      </c>
      <c r="Q135" s="5">
        <f t="shared" si="28"/>
        <v>131352.7037782557</v>
      </c>
      <c r="R135" s="5">
        <f t="shared" si="28"/>
        <v>136606.81192938593</v>
      </c>
      <c r="S135" s="5">
        <f t="shared" si="28"/>
        <v>142071.0844065614</v>
      </c>
      <c r="T135" s="5">
        <f t="shared" si="28"/>
        <v>147753.92778282386</v>
      </c>
      <c r="U135" s="5">
        <f t="shared" si="28"/>
        <v>153664.08489413682</v>
      </c>
      <c r="V135" s="5">
        <f t="shared" si="28"/>
        <v>159810.64828990225</v>
      </c>
      <c r="W135" s="5">
        <f t="shared" si="28"/>
        <v>166203.07422149836</v>
      </c>
      <c r="X135" s="5">
        <f t="shared" si="28"/>
        <v>172851.1971903583</v>
      </c>
      <c r="Y135" s="5">
        <f t="shared" si="28"/>
        <v>179765.24507797265</v>
      </c>
      <c r="Z135" s="5">
        <f t="shared" si="28"/>
        <v>186955.85488109157</v>
      </c>
      <c r="AA135" s="5">
        <f t="shared" si="28"/>
        <v>194434.08907633525</v>
      </c>
      <c r="AB135" s="5">
        <f t="shared" si="28"/>
        <v>202211.45263938868</v>
      </c>
      <c r="AC135" s="5">
        <f t="shared" si="28"/>
        <v>210299.91074496417</v>
      </c>
      <c r="AD135" s="5">
        <f t="shared" si="28"/>
        <v>218711.9071747628</v>
      </c>
      <c r="AE135" s="5">
        <f t="shared" si="28"/>
        <v>227460.3834617533</v>
      </c>
      <c r="AF135" s="5">
        <f t="shared" si="28"/>
        <v>236558.79880022342</v>
      </c>
      <c r="AH135" s="4"/>
    </row>
    <row r="136" spans="1:34" ht="12.75">
      <c r="A136" t="s">
        <v>102</v>
      </c>
      <c r="B136" s="5">
        <f>+B138+B135-B134</f>
        <v>73116</v>
      </c>
      <c r="C136" s="5">
        <f>+C138+C135-C134</f>
        <v>57807.9691499999</v>
      </c>
      <c r="D136" s="5">
        <f aca="true" t="shared" si="29" ref="D136:AF136">+D138+D135-D134</f>
        <v>83020.28545590001</v>
      </c>
      <c r="E136" s="5">
        <f>+E138+E135-E134</f>
        <v>89702.34337535407</v>
      </c>
      <c r="F136" s="5">
        <f t="shared" si="29"/>
        <v>148847.84066344931</v>
      </c>
      <c r="G136" s="5">
        <f t="shared" si="29"/>
        <v>177676.15113589907</v>
      </c>
      <c r="H136" s="5">
        <f t="shared" si="29"/>
        <v>181533.35703565297</v>
      </c>
      <c r="I136" s="5">
        <f t="shared" si="29"/>
        <v>185213.79349928815</v>
      </c>
      <c r="J136" s="5">
        <f t="shared" si="29"/>
        <v>188682.36225323117</v>
      </c>
      <c r="K136" s="5">
        <f t="shared" si="29"/>
        <v>200003.30398842512</v>
      </c>
      <c r="L136" s="5">
        <f t="shared" si="29"/>
        <v>212003.50222773064</v>
      </c>
      <c r="M136" s="5">
        <f t="shared" si="29"/>
        <v>224723.71236139443</v>
      </c>
      <c r="N136" s="5">
        <f t="shared" si="29"/>
        <v>238207.13510307815</v>
      </c>
      <c r="O136" s="5">
        <f t="shared" si="29"/>
        <v>252499.5632092628</v>
      </c>
      <c r="P136" s="5">
        <f t="shared" si="29"/>
        <v>267649.53700181865</v>
      </c>
      <c r="Q136" s="5">
        <f t="shared" si="29"/>
        <v>269881.9088242168</v>
      </c>
      <c r="R136" s="5">
        <f t="shared" si="29"/>
        <v>269068.1048644851</v>
      </c>
      <c r="S136" s="5">
        <f t="shared" si="29"/>
        <v>267525.20392760215</v>
      </c>
      <c r="T136" s="5">
        <f t="shared" si="29"/>
        <v>265182.24944535596</v>
      </c>
      <c r="U136" s="5">
        <f t="shared" si="29"/>
        <v>275789.53942317003</v>
      </c>
      <c r="V136" s="5">
        <f t="shared" si="29"/>
        <v>286821.1210000969</v>
      </c>
      <c r="W136" s="5">
        <f t="shared" si="29"/>
        <v>298293.9658401008</v>
      </c>
      <c r="X136" s="5">
        <f t="shared" si="29"/>
        <v>310225.7244737048</v>
      </c>
      <c r="Y136" s="5">
        <f t="shared" si="29"/>
        <v>322634.7534526533</v>
      </c>
      <c r="Z136" s="5">
        <f t="shared" si="29"/>
        <v>335540.14359075925</v>
      </c>
      <c r="AA136" s="5">
        <f t="shared" si="29"/>
        <v>348961.7493343899</v>
      </c>
      <c r="AB136" s="5">
        <f t="shared" si="29"/>
        <v>362920.21930776513</v>
      </c>
      <c r="AC136" s="5">
        <f t="shared" si="29"/>
        <v>377437.028080076</v>
      </c>
      <c r="AD136" s="5">
        <f t="shared" si="29"/>
        <v>392534.5092032789</v>
      </c>
      <c r="AE136" s="5">
        <f t="shared" si="29"/>
        <v>408235.8895714099</v>
      </c>
      <c r="AF136" s="5">
        <f t="shared" si="29"/>
        <v>424565.32515426655</v>
      </c>
      <c r="AH136" s="4"/>
    </row>
    <row r="137" spans="1:34" ht="12.75">
      <c r="A137" t="s">
        <v>103</v>
      </c>
      <c r="AH137" s="4"/>
    </row>
    <row r="138" spans="1:34" ht="12.75">
      <c r="A138" t="s">
        <v>105</v>
      </c>
      <c r="B138" s="4">
        <v>305012</v>
      </c>
      <c r="C138" s="4">
        <f aca="true" t="shared" si="30" ref="C138:AF138">+C31*C36</f>
        <v>304867.68914999993</v>
      </c>
      <c r="D138" s="4">
        <f t="shared" si="30"/>
        <v>329963.1136674</v>
      </c>
      <c r="E138" s="4">
        <f t="shared" si="30"/>
        <v>356972.46544594807</v>
      </c>
      <c r="F138" s="4">
        <f t="shared" si="30"/>
        <v>386035.0722287192</v>
      </c>
      <c r="G138" s="4">
        <f t="shared" si="30"/>
        <v>409197.1765624424</v>
      </c>
      <c r="H138" s="4">
        <f t="shared" si="30"/>
        <v>433749.0071561889</v>
      </c>
      <c r="I138" s="4">
        <f t="shared" si="30"/>
        <v>459773.94758556026</v>
      </c>
      <c r="J138" s="4">
        <f t="shared" si="30"/>
        <v>487360.38444069395</v>
      </c>
      <c r="K138" s="4">
        <f t="shared" si="30"/>
        <v>516602.0075071356</v>
      </c>
      <c r="L138" s="4">
        <f t="shared" si="30"/>
        <v>547598.1279575637</v>
      </c>
      <c r="M138" s="4">
        <f t="shared" si="30"/>
        <v>580454.0156350175</v>
      </c>
      <c r="N138" s="4">
        <f t="shared" si="30"/>
        <v>615281.2565731187</v>
      </c>
      <c r="O138" s="4">
        <f t="shared" si="30"/>
        <v>652198.1319675059</v>
      </c>
      <c r="P138" s="4">
        <f t="shared" si="30"/>
        <v>691330.0198855563</v>
      </c>
      <c r="Q138" s="4">
        <f t="shared" si="30"/>
        <v>718983.2206809786</v>
      </c>
      <c r="R138" s="4">
        <f t="shared" si="30"/>
        <v>747742.5495082178</v>
      </c>
      <c r="S138" s="4">
        <f t="shared" si="30"/>
        <v>777652.2514885466</v>
      </c>
      <c r="T138" s="4">
        <f t="shared" si="30"/>
        <v>808758.3415480885</v>
      </c>
      <c r="U138" s="4">
        <f t="shared" si="30"/>
        <v>841108.6752100119</v>
      </c>
      <c r="V138" s="4">
        <f t="shared" si="30"/>
        <v>874753.0222184125</v>
      </c>
      <c r="W138" s="4">
        <f t="shared" si="30"/>
        <v>909743.1431071489</v>
      </c>
      <c r="X138" s="4">
        <f t="shared" si="30"/>
        <v>946132.868831435</v>
      </c>
      <c r="Y138" s="4">
        <f t="shared" si="30"/>
        <v>983978.1835846924</v>
      </c>
      <c r="Z138" s="4">
        <f t="shared" si="30"/>
        <v>1023337.3109280802</v>
      </c>
      <c r="AA138" s="4">
        <f t="shared" si="30"/>
        <v>1064270.8033652036</v>
      </c>
      <c r="AB138" s="4">
        <f t="shared" si="30"/>
        <v>1106841.6354998115</v>
      </c>
      <c r="AC138" s="4">
        <f t="shared" si="30"/>
        <v>1151115.3009198043</v>
      </c>
      <c r="AD138" s="4">
        <f t="shared" si="30"/>
        <v>1197159.9129565964</v>
      </c>
      <c r="AE138" s="4">
        <f t="shared" si="30"/>
        <v>1245046.30947486</v>
      </c>
      <c r="AF138" s="4">
        <f t="shared" si="30"/>
        <v>1294848.1618538545</v>
      </c>
      <c r="AH138" s="4"/>
    </row>
    <row r="139" spans="2:1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1"/>
      <c r="M139" s="5"/>
      <c r="N139" s="5"/>
      <c r="O139" s="5"/>
      <c r="P139" s="5"/>
    </row>
    <row r="140" spans="1:16" ht="23.25">
      <c r="A140" s="85" t="s">
        <v>163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1"/>
      <c r="M140" s="5"/>
      <c r="N140" s="5"/>
      <c r="O140" s="5"/>
      <c r="P140" s="5"/>
    </row>
    <row r="141" spans="1:16" ht="23.25">
      <c r="A141" s="26" t="s">
        <v>157</v>
      </c>
      <c r="M141" s="2"/>
      <c r="N141" s="5"/>
      <c r="O141" s="5"/>
      <c r="P141" s="5"/>
    </row>
    <row r="142" spans="1:16" ht="13.5" thickBot="1">
      <c r="A142" s="31" t="s">
        <v>89</v>
      </c>
      <c r="B142" s="31">
        <v>1995</v>
      </c>
      <c r="C142" s="31">
        <f>+B142+1</f>
        <v>1996</v>
      </c>
      <c r="D142" s="31">
        <f aca="true" t="shared" si="31" ref="D142:L142">+C142+1</f>
        <v>1997</v>
      </c>
      <c r="E142" s="31">
        <f t="shared" si="31"/>
        <v>1998</v>
      </c>
      <c r="F142" s="31">
        <f t="shared" si="31"/>
        <v>1999</v>
      </c>
      <c r="G142" s="31">
        <f t="shared" si="31"/>
        <v>2000</v>
      </c>
      <c r="H142" s="31">
        <f t="shared" si="31"/>
        <v>2001</v>
      </c>
      <c r="I142" s="31">
        <f t="shared" si="31"/>
        <v>2002</v>
      </c>
      <c r="J142" s="31">
        <f t="shared" si="31"/>
        <v>2003</v>
      </c>
      <c r="K142" s="31">
        <f t="shared" si="31"/>
        <v>2004</v>
      </c>
      <c r="L142" s="31">
        <f t="shared" si="31"/>
        <v>2005</v>
      </c>
      <c r="M142" s="29">
        <v>2006</v>
      </c>
      <c r="N142" s="31">
        <v>2007</v>
      </c>
      <c r="O142" s="29" t="s">
        <v>158</v>
      </c>
      <c r="P142" s="29" t="s">
        <v>159</v>
      </c>
    </row>
    <row r="143" spans="1:16" ht="12.75">
      <c r="A143" t="s">
        <v>0</v>
      </c>
      <c r="B143" s="4">
        <v>191541</v>
      </c>
      <c r="C143" s="4">
        <v>218000</v>
      </c>
      <c r="D143" s="4">
        <v>291547</v>
      </c>
      <c r="E143" s="4">
        <v>384992</v>
      </c>
      <c r="F143" s="4">
        <v>323823</v>
      </c>
      <c r="G143" s="4">
        <v>379358</v>
      </c>
      <c r="H143" s="4">
        <v>419770</v>
      </c>
      <c r="I143" s="4">
        <v>418158</v>
      </c>
      <c r="J143" s="4">
        <v>439530</v>
      </c>
      <c r="K143" s="4">
        <v>739539</v>
      </c>
      <c r="L143" s="4">
        <v>1214552</v>
      </c>
      <c r="M143" s="4">
        <v>1669176</v>
      </c>
      <c r="N143" s="89">
        <v>1868844</v>
      </c>
      <c r="O143" s="89">
        <v>495670</v>
      </c>
      <c r="P143" s="89">
        <v>518112</v>
      </c>
    </row>
    <row r="144" spans="1:16" ht="12.75">
      <c r="A144" t="s">
        <v>2</v>
      </c>
      <c r="B144" s="4">
        <v>132876</v>
      </c>
      <c r="C144" s="4">
        <v>148191</v>
      </c>
      <c r="D144" s="4">
        <v>191617</v>
      </c>
      <c r="E144" s="4">
        <v>252842</v>
      </c>
      <c r="F144" s="4">
        <v>220918</v>
      </c>
      <c r="G144" s="4">
        <v>268290</v>
      </c>
      <c r="H144" s="4">
        <v>294249</v>
      </c>
      <c r="I144" s="4">
        <v>289631</v>
      </c>
      <c r="J144" s="4">
        <v>307753</v>
      </c>
      <c r="K144" s="4">
        <v>498435</v>
      </c>
      <c r="L144" s="4">
        <v>813227</v>
      </c>
      <c r="M144" s="4">
        <v>1084057</v>
      </c>
      <c r="N144" s="89">
        <v>1248921</v>
      </c>
      <c r="O144" s="89">
        <v>334344</v>
      </c>
      <c r="P144" s="89">
        <v>350236</v>
      </c>
    </row>
    <row r="145" spans="1:16" ht="12.75">
      <c r="A145" t="s">
        <v>3</v>
      </c>
      <c r="B145" s="4">
        <v>25632</v>
      </c>
      <c r="C145" s="4">
        <v>30169</v>
      </c>
      <c r="D145" s="4">
        <v>39938</v>
      </c>
      <c r="E145" s="4">
        <v>53793</v>
      </c>
      <c r="F145" s="4">
        <v>53080</v>
      </c>
      <c r="G145" s="4">
        <v>59784</v>
      </c>
      <c r="H145" s="4">
        <v>69678</v>
      </c>
      <c r="I145" s="4">
        <v>79400</v>
      </c>
      <c r="J145" s="4">
        <v>85326</v>
      </c>
      <c r="K145" s="4">
        <v>157453</v>
      </c>
      <c r="L145" s="4">
        <v>242368</v>
      </c>
      <c r="M145" s="4">
        <v>297837</v>
      </c>
      <c r="N145" s="89">
        <v>328404</v>
      </c>
      <c r="O145" s="89">
        <v>85378</v>
      </c>
      <c r="P145" s="89">
        <v>94281</v>
      </c>
    </row>
    <row r="146" spans="1:16" ht="12.75">
      <c r="A146" t="s">
        <v>4</v>
      </c>
      <c r="B146" s="4">
        <v>8263</v>
      </c>
      <c r="C146" s="4">
        <v>8097</v>
      </c>
      <c r="D146" s="4">
        <v>9662</v>
      </c>
      <c r="E146" s="4">
        <v>12978</v>
      </c>
      <c r="F146" s="4">
        <v>14222</v>
      </c>
      <c r="G146" s="4">
        <v>15881</v>
      </c>
      <c r="H146" s="4">
        <v>17567</v>
      </c>
      <c r="I146" s="4">
        <v>14139</v>
      </c>
      <c r="J146" s="4">
        <v>14566</v>
      </c>
      <c r="K146" s="4">
        <v>21901</v>
      </c>
      <c r="L146" s="4">
        <v>38322</v>
      </c>
      <c r="M146" s="4">
        <v>52209</v>
      </c>
      <c r="N146" s="30">
        <v>0</v>
      </c>
      <c r="O146" s="30">
        <v>0</v>
      </c>
      <c r="P146" s="30">
        <v>0</v>
      </c>
    </row>
    <row r="147" spans="1:16" ht="12.75">
      <c r="A147" t="s">
        <v>5</v>
      </c>
      <c r="B147" s="4">
        <v>4950</v>
      </c>
      <c r="C147" s="4">
        <v>3104</v>
      </c>
      <c r="D147" s="4">
        <v>3937</v>
      </c>
      <c r="E147" s="4">
        <v>4849</v>
      </c>
      <c r="F147" s="4">
        <v>5934</v>
      </c>
      <c r="G147" s="4">
        <v>7669</v>
      </c>
      <c r="H147" s="4">
        <v>6796</v>
      </c>
      <c r="I147" s="4">
        <v>6365</v>
      </c>
      <c r="J147" s="4">
        <v>4748</v>
      </c>
      <c r="K147" s="4">
        <v>10102</v>
      </c>
      <c r="L147" s="4">
        <v>30433</v>
      </c>
      <c r="M147" s="4">
        <v>37379</v>
      </c>
      <c r="N147" s="30">
        <v>26211</v>
      </c>
      <c r="O147" s="30">
        <v>5600</v>
      </c>
      <c r="P147" s="30">
        <v>5041</v>
      </c>
    </row>
    <row r="148" spans="1:16" ht="12.75">
      <c r="A148" t="s">
        <v>6</v>
      </c>
      <c r="B148" s="4">
        <v>0</v>
      </c>
      <c r="C148" s="4">
        <v>0</v>
      </c>
      <c r="D148" s="4">
        <v>242</v>
      </c>
      <c r="E148" s="4">
        <v>636</v>
      </c>
      <c r="F148" s="4">
        <v>512</v>
      </c>
      <c r="G148" s="4">
        <v>-2160</v>
      </c>
      <c r="H148" s="4">
        <v>-3203</v>
      </c>
      <c r="I148" s="4">
        <v>-204</v>
      </c>
      <c r="J148" s="4">
        <v>-3221</v>
      </c>
      <c r="K148" s="4">
        <v>-638</v>
      </c>
      <c r="L148" s="4">
        <v>-5442</v>
      </c>
      <c r="M148" s="4">
        <v>-2921</v>
      </c>
      <c r="N148" s="30">
        <v>-3052</v>
      </c>
      <c r="O148" s="30">
        <v>-241</v>
      </c>
      <c r="P148" s="30">
        <v>-336</v>
      </c>
    </row>
    <row r="149" spans="1:16" ht="12.75">
      <c r="A149" t="s">
        <v>7</v>
      </c>
      <c r="B149" s="5">
        <f>+B143-B144-B145-B146-B147-B148</f>
        <v>19820</v>
      </c>
      <c r="C149" s="5">
        <f aca="true" t="shared" si="32" ref="C149:L149">+C143-C144-C145-C146-C147-C148</f>
        <v>28439</v>
      </c>
      <c r="D149" s="5">
        <f t="shared" si="32"/>
        <v>46151</v>
      </c>
      <c r="E149" s="5">
        <f t="shared" si="32"/>
        <v>59894</v>
      </c>
      <c r="F149" s="5">
        <f t="shared" si="32"/>
        <v>29157</v>
      </c>
      <c r="G149" s="5">
        <f t="shared" si="32"/>
        <v>29894</v>
      </c>
      <c r="H149" s="5">
        <f t="shared" si="32"/>
        <v>34683</v>
      </c>
      <c r="I149" s="5">
        <f t="shared" si="32"/>
        <v>28827</v>
      </c>
      <c r="J149" s="5">
        <f t="shared" si="32"/>
        <v>30358</v>
      </c>
      <c r="K149" s="5">
        <f t="shared" si="32"/>
        <v>52286</v>
      </c>
      <c r="L149" s="5">
        <f t="shared" si="32"/>
        <v>95644</v>
      </c>
      <c r="M149" s="5">
        <f>+M143-M144-M145-M146-M147-M148</f>
        <v>200615</v>
      </c>
      <c r="N149" s="5">
        <v>268360</v>
      </c>
      <c r="O149" s="5">
        <v>70589</v>
      </c>
      <c r="P149" s="5">
        <v>68890</v>
      </c>
    </row>
    <row r="150" spans="1:16" ht="12.75">
      <c r="A150" t="s">
        <v>8</v>
      </c>
      <c r="B150" s="5">
        <v>8226</v>
      </c>
      <c r="C150" s="5">
        <v>11533</v>
      </c>
      <c r="D150" s="5">
        <v>18500</v>
      </c>
      <c r="E150" s="5">
        <v>23089</v>
      </c>
      <c r="F150" s="5">
        <v>11109</v>
      </c>
      <c r="G150" s="5">
        <v>11210</v>
      </c>
      <c r="H150" s="5">
        <v>12659</v>
      </c>
      <c r="I150" s="5">
        <v>9225</v>
      </c>
      <c r="J150" s="5">
        <v>9715</v>
      </c>
      <c r="K150" s="5">
        <v>15163</v>
      </c>
      <c r="L150" s="5">
        <v>28693</v>
      </c>
      <c r="M150" s="5">
        <v>67707</v>
      </c>
      <c r="N150" s="5">
        <v>63256</v>
      </c>
      <c r="O150" s="5">
        <v>19730</v>
      </c>
      <c r="P150" s="5">
        <v>19324</v>
      </c>
    </row>
    <row r="151" spans="1:16" ht="12.75">
      <c r="A151" t="s">
        <v>9</v>
      </c>
      <c r="B151" s="5">
        <f>+B149-B150</f>
        <v>11594</v>
      </c>
      <c r="C151" s="5">
        <f aca="true" t="shared" si="33" ref="C151:L151">+C149-C150</f>
        <v>16906</v>
      </c>
      <c r="D151" s="5">
        <f t="shared" si="33"/>
        <v>27651</v>
      </c>
      <c r="E151" s="5">
        <f t="shared" si="33"/>
        <v>36805</v>
      </c>
      <c r="F151" s="5">
        <f t="shared" si="33"/>
        <v>18048</v>
      </c>
      <c r="G151" s="5">
        <f t="shared" si="33"/>
        <v>18684</v>
      </c>
      <c r="H151" s="5">
        <f t="shared" si="33"/>
        <v>22024</v>
      </c>
      <c r="I151" s="5">
        <f t="shared" si="33"/>
        <v>19602</v>
      </c>
      <c r="J151" s="5">
        <f t="shared" si="33"/>
        <v>20643</v>
      </c>
      <c r="K151" s="5">
        <f t="shared" si="33"/>
        <v>37123</v>
      </c>
      <c r="L151" s="5">
        <f t="shared" si="33"/>
        <v>66951</v>
      </c>
      <c r="M151" s="5">
        <f>+M149-M150</f>
        <v>132908</v>
      </c>
      <c r="N151" s="5">
        <v>205104</v>
      </c>
      <c r="O151" s="5">
        <v>50859</v>
      </c>
      <c r="P151" s="5">
        <v>49566</v>
      </c>
    </row>
    <row r="152" spans="2:1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1"/>
      <c r="M152" s="5"/>
      <c r="N152" s="5"/>
      <c r="O152" s="5"/>
      <c r="P152" s="5"/>
    </row>
    <row r="153" spans="1:15" ht="12.75">
      <c r="A153" t="s">
        <v>10</v>
      </c>
      <c r="B153" s="19">
        <v>0.81</v>
      </c>
      <c r="C153" s="19">
        <v>1.16</v>
      </c>
      <c r="D153" s="19">
        <v>1.84</v>
      </c>
      <c r="E153" s="19">
        <v>2.29</v>
      </c>
      <c r="F153" s="19">
        <v>1.2</v>
      </c>
      <c r="G153" s="19">
        <v>1.22</v>
      </c>
      <c r="H153" s="19">
        <v>1.42</v>
      </c>
      <c r="I153" s="19">
        <v>1.24</v>
      </c>
      <c r="J153" s="19">
        <v>1.29</v>
      </c>
      <c r="K153" s="19">
        <v>1.96</v>
      </c>
      <c r="L153" s="19">
        <v>2.8</v>
      </c>
      <c r="M153" s="19">
        <v>2.54</v>
      </c>
      <c r="N153" s="19">
        <v>3.85</v>
      </c>
      <c r="O153" s="19"/>
    </row>
    <row r="154" spans="1:15" ht="12.75">
      <c r="A154" t="s">
        <v>11</v>
      </c>
      <c r="B154" s="19">
        <v>0.79</v>
      </c>
      <c r="C154" s="19">
        <v>1.11</v>
      </c>
      <c r="D154" s="19">
        <v>1.74</v>
      </c>
      <c r="E154" s="19">
        <v>2.22</v>
      </c>
      <c r="F154" s="19">
        <v>1.18</v>
      </c>
      <c r="G154" s="19">
        <v>1.21</v>
      </c>
      <c r="H154" s="19">
        <v>1.4</v>
      </c>
      <c r="I154" s="19">
        <v>1.22</v>
      </c>
      <c r="J154" s="19">
        <v>1.27</v>
      </c>
      <c r="K154" s="19">
        <v>1.92</v>
      </c>
      <c r="L154" s="19">
        <v>2.74</v>
      </c>
      <c r="M154" s="19">
        <v>2.49</v>
      </c>
      <c r="N154" s="19">
        <v>3.8</v>
      </c>
      <c r="O154" s="19"/>
    </row>
    <row r="156" spans="1:16" ht="12.75">
      <c r="A156" t="s">
        <v>12</v>
      </c>
      <c r="B156" s="6">
        <f aca="true" t="shared" si="34" ref="B156:L156">+B151/B153*1000</f>
        <v>14313580.24691358</v>
      </c>
      <c r="C156" s="6">
        <f t="shared" si="34"/>
        <v>14574137.931034483</v>
      </c>
      <c r="D156" s="6">
        <f t="shared" si="34"/>
        <v>15027717.391304348</v>
      </c>
      <c r="E156" s="6">
        <f t="shared" si="34"/>
        <v>16072052.401746726</v>
      </c>
      <c r="F156" s="6">
        <f t="shared" si="34"/>
        <v>15040000</v>
      </c>
      <c r="G156" s="6">
        <f t="shared" si="34"/>
        <v>15314754.098360656</v>
      </c>
      <c r="H156" s="6">
        <f t="shared" si="34"/>
        <v>15509859.154929578</v>
      </c>
      <c r="I156" s="6">
        <f t="shared" si="34"/>
        <v>15808064.516129032</v>
      </c>
      <c r="J156" s="6">
        <f t="shared" si="34"/>
        <v>16002325.581395349</v>
      </c>
      <c r="K156" s="6">
        <f t="shared" si="34"/>
        <v>18940306.12244898</v>
      </c>
      <c r="L156" s="6">
        <f t="shared" si="34"/>
        <v>23911071.428571433</v>
      </c>
      <c r="M156" s="6">
        <f>+M151/M153*1000</f>
        <v>52325984.2519685</v>
      </c>
      <c r="N156" s="6">
        <f>+N151/N153*1000</f>
        <v>53273766.233766235</v>
      </c>
      <c r="O156" s="6"/>
      <c r="P156" s="6"/>
    </row>
    <row r="157" spans="1:16" ht="12.75">
      <c r="A157" t="s">
        <v>13</v>
      </c>
      <c r="B157" s="6">
        <f aca="true" t="shared" si="35" ref="B157:L157">+B151/B154*1000</f>
        <v>14675949.367088608</v>
      </c>
      <c r="C157" s="6">
        <f t="shared" si="35"/>
        <v>15230630.63063063</v>
      </c>
      <c r="D157" s="6">
        <f t="shared" si="35"/>
        <v>15891379.310344828</v>
      </c>
      <c r="E157" s="6">
        <f t="shared" si="35"/>
        <v>16578828.828828828</v>
      </c>
      <c r="F157" s="6">
        <f t="shared" si="35"/>
        <v>15294915.254237289</v>
      </c>
      <c r="G157" s="6">
        <f t="shared" si="35"/>
        <v>15441322.314049587</v>
      </c>
      <c r="H157" s="6">
        <f t="shared" si="35"/>
        <v>15731428.571428573</v>
      </c>
      <c r="I157" s="6">
        <f t="shared" si="35"/>
        <v>16067213.1147541</v>
      </c>
      <c r="J157" s="6">
        <f t="shared" si="35"/>
        <v>16254330.708661417</v>
      </c>
      <c r="K157" s="6">
        <f t="shared" si="35"/>
        <v>19334895.833333336</v>
      </c>
      <c r="L157" s="6">
        <f t="shared" si="35"/>
        <v>24434671.532846715</v>
      </c>
      <c r="M157" s="6">
        <f>+M151/M154*1000</f>
        <v>53376706.82730923</v>
      </c>
      <c r="N157" s="6">
        <f>+N151/N154*1000</f>
        <v>53974736.84210527</v>
      </c>
      <c r="O157" s="6"/>
      <c r="P157" s="6"/>
    </row>
    <row r="158" spans="1:16" ht="12.75">
      <c r="A158" t="s">
        <v>14</v>
      </c>
      <c r="B158" s="7">
        <f>+B157-B156</f>
        <v>362369.1201750282</v>
      </c>
      <c r="C158" s="7">
        <f aca="true" t="shared" si="36" ref="C158:L158">+C157-C156</f>
        <v>656492.6995961461</v>
      </c>
      <c r="D158" s="7">
        <f t="shared" si="36"/>
        <v>863661.9190404806</v>
      </c>
      <c r="E158" s="7">
        <f t="shared" si="36"/>
        <v>506776.42708210275</v>
      </c>
      <c r="F158" s="7">
        <f t="shared" si="36"/>
        <v>254915.2542372886</v>
      </c>
      <c r="G158" s="7">
        <f t="shared" si="36"/>
        <v>126568.21568893082</v>
      </c>
      <c r="H158" s="7">
        <f t="shared" si="36"/>
        <v>221569.41649899445</v>
      </c>
      <c r="I158" s="7">
        <f t="shared" si="36"/>
        <v>259148.59862506762</v>
      </c>
      <c r="J158" s="7">
        <f t="shared" si="36"/>
        <v>252005.127266068</v>
      </c>
      <c r="K158" s="7">
        <f t="shared" si="36"/>
        <v>394589.710884355</v>
      </c>
      <c r="L158" s="7">
        <f t="shared" si="36"/>
        <v>523600.1042752825</v>
      </c>
      <c r="M158" s="7">
        <f>+M157-M156</f>
        <v>1050722.5753407255</v>
      </c>
      <c r="N158" s="7">
        <f>+N157-N156</f>
        <v>700970.608339034</v>
      </c>
      <c r="O158" s="7"/>
      <c r="P158" s="7"/>
    </row>
    <row r="159" ht="12.75">
      <c r="L159" s="8"/>
    </row>
    <row r="160" ht="23.25">
      <c r="A160" s="26" t="s">
        <v>156</v>
      </c>
    </row>
    <row r="161" spans="1:16" ht="13.5" thickBot="1">
      <c r="A161" s="31" t="s">
        <v>89</v>
      </c>
      <c r="B161" s="31">
        <v>1995</v>
      </c>
      <c r="C161" s="31">
        <f>+B161+1</f>
        <v>1996</v>
      </c>
      <c r="D161" s="31">
        <f aca="true" t="shared" si="37" ref="D161:L161">+C161+1</f>
        <v>1997</v>
      </c>
      <c r="E161" s="31">
        <f t="shared" si="37"/>
        <v>1998</v>
      </c>
      <c r="F161" s="31">
        <f t="shared" si="37"/>
        <v>1999</v>
      </c>
      <c r="G161" s="31">
        <f t="shared" si="37"/>
        <v>2000</v>
      </c>
      <c r="H161" s="31">
        <f t="shared" si="37"/>
        <v>2001</v>
      </c>
      <c r="I161" s="31">
        <f t="shared" si="37"/>
        <v>2002</v>
      </c>
      <c r="J161" s="31">
        <f t="shared" si="37"/>
        <v>2003</v>
      </c>
      <c r="K161" s="31">
        <f t="shared" si="37"/>
        <v>2004</v>
      </c>
      <c r="L161" s="31">
        <f t="shared" si="37"/>
        <v>2005</v>
      </c>
      <c r="M161" s="29">
        <v>2006</v>
      </c>
      <c r="N161" s="31">
        <v>2007</v>
      </c>
      <c r="O161" s="29" t="s">
        <v>158</v>
      </c>
      <c r="P161" s="29" t="s">
        <v>159</v>
      </c>
    </row>
    <row r="162" spans="1:16" ht="12.75">
      <c r="A162" t="s">
        <v>15</v>
      </c>
      <c r="E162" s="4">
        <v>24474</v>
      </c>
      <c r="F162" s="4">
        <v>27317</v>
      </c>
      <c r="G162" s="4">
        <v>30239</v>
      </c>
      <c r="H162" s="4">
        <v>29980</v>
      </c>
      <c r="I162" s="4">
        <v>25667</v>
      </c>
      <c r="J162" s="4">
        <v>132803</v>
      </c>
      <c r="K162" s="4">
        <v>64601</v>
      </c>
      <c r="L162" s="4">
        <v>110906</v>
      </c>
      <c r="M162" s="4">
        <v>62331</v>
      </c>
      <c r="N162" s="89">
        <v>92922</v>
      </c>
      <c r="O162" s="89">
        <v>111105</v>
      </c>
      <c r="P162" s="89">
        <v>127134</v>
      </c>
    </row>
    <row r="163" spans="1:16" ht="12.75">
      <c r="A163" t="s">
        <v>112</v>
      </c>
      <c r="E163" s="4">
        <v>69617</v>
      </c>
      <c r="F163" s="4">
        <v>72272</v>
      </c>
      <c r="G163" s="4">
        <v>79448</v>
      </c>
      <c r="H163" s="4">
        <v>85538</v>
      </c>
      <c r="I163" s="4">
        <v>74490</v>
      </c>
      <c r="J163" s="4">
        <v>81345</v>
      </c>
      <c r="K163" s="4">
        <v>163927</v>
      </c>
      <c r="L163" s="4">
        <v>229467</v>
      </c>
      <c r="M163" s="4">
        <v>261115</v>
      </c>
      <c r="N163" s="89">
        <v>308748</v>
      </c>
      <c r="O163" s="89">
        <v>346548</v>
      </c>
      <c r="P163" s="89">
        <v>354339</v>
      </c>
    </row>
    <row r="164" spans="1:16" ht="12.75">
      <c r="A164" t="s">
        <v>18</v>
      </c>
      <c r="E164" s="4">
        <v>53115</v>
      </c>
      <c r="F164" s="4">
        <v>60356</v>
      </c>
      <c r="G164" s="4">
        <v>61942</v>
      </c>
      <c r="H164" s="4">
        <v>76650</v>
      </c>
      <c r="I164" s="4">
        <v>67448</v>
      </c>
      <c r="J164" s="4">
        <v>64327</v>
      </c>
      <c r="K164" s="4">
        <v>138386</v>
      </c>
      <c r="L164" s="4">
        <v>207326</v>
      </c>
      <c r="M164" s="4">
        <v>225067</v>
      </c>
      <c r="N164" s="89">
        <v>256446</v>
      </c>
      <c r="O164" s="89">
        <v>266921</v>
      </c>
      <c r="P164" s="89">
        <v>262586</v>
      </c>
    </row>
    <row r="165" spans="1:16" ht="12.75">
      <c r="A165" t="s">
        <v>25</v>
      </c>
      <c r="E165" s="4">
        <v>2445</v>
      </c>
      <c r="F165" s="4">
        <v>3664</v>
      </c>
      <c r="G165" s="4">
        <v>4887</v>
      </c>
      <c r="H165" s="4">
        <v>4956</v>
      </c>
      <c r="I165" s="4">
        <v>5902</v>
      </c>
      <c r="J165" s="4">
        <v>3652</v>
      </c>
      <c r="K165" s="4">
        <v>9465</v>
      </c>
      <c r="L165" s="4">
        <v>25754</v>
      </c>
      <c r="M165" s="4">
        <v>14362</v>
      </c>
      <c r="N165" s="89">
        <v>21034</v>
      </c>
      <c r="O165" s="89">
        <v>0</v>
      </c>
      <c r="P165" s="89">
        <v>0</v>
      </c>
    </row>
    <row r="166" spans="1:16" ht="13.5" thickBot="1">
      <c r="A166" t="s">
        <v>19</v>
      </c>
      <c r="E166" s="20">
        <v>2154</v>
      </c>
      <c r="F166" s="20">
        <v>2770</v>
      </c>
      <c r="G166" s="20">
        <v>3400</v>
      </c>
      <c r="H166" s="20">
        <v>4011</v>
      </c>
      <c r="I166" s="20">
        <v>4268</v>
      </c>
      <c r="J166" s="20">
        <v>5682</v>
      </c>
      <c r="K166" s="20">
        <v>9143</v>
      </c>
      <c r="L166" s="20">
        <v>12814</v>
      </c>
      <c r="M166" s="20">
        <v>16843</v>
      </c>
      <c r="N166" s="90">
        <v>22378</v>
      </c>
      <c r="O166" s="90">
        <v>23811</v>
      </c>
      <c r="P166" s="90">
        <v>25870</v>
      </c>
    </row>
    <row r="167" spans="1:16" ht="12.75">
      <c r="A167" t="s">
        <v>20</v>
      </c>
      <c r="E167" s="33">
        <f>SUM(E162:E166)</f>
        <v>151805</v>
      </c>
      <c r="F167" s="33">
        <f aca="true" t="shared" si="38" ref="F167:K167">SUM(F162:F166)</f>
        <v>166379</v>
      </c>
      <c r="G167" s="33">
        <f t="shared" si="38"/>
        <v>179916</v>
      </c>
      <c r="H167" s="33">
        <f t="shared" si="38"/>
        <v>201135</v>
      </c>
      <c r="I167" s="33">
        <f t="shared" si="38"/>
        <v>177775</v>
      </c>
      <c r="J167" s="33">
        <f t="shared" si="38"/>
        <v>287809</v>
      </c>
      <c r="K167" s="33">
        <f t="shared" si="38"/>
        <v>385522</v>
      </c>
      <c r="L167" s="33">
        <f>SUM(L162:L166)</f>
        <v>586267</v>
      </c>
      <c r="M167" s="33">
        <f>SUM(M162:M166)</f>
        <v>579718</v>
      </c>
      <c r="N167" s="30">
        <v>701528</v>
      </c>
      <c r="O167" s="30">
        <v>748385</v>
      </c>
      <c r="P167" s="30">
        <v>769929</v>
      </c>
    </row>
    <row r="168" spans="5:13" ht="12.75">
      <c r="E168" s="18"/>
      <c r="F168" s="18"/>
      <c r="G168" s="18"/>
      <c r="H168" s="18"/>
      <c r="I168" s="18"/>
      <c r="J168" s="18"/>
      <c r="K168" s="18"/>
      <c r="L168" s="18"/>
      <c r="M168" s="30"/>
    </row>
    <row r="169" spans="1:16" ht="12.75">
      <c r="A169" t="s">
        <v>21</v>
      </c>
      <c r="E169" s="4">
        <v>59261</v>
      </c>
      <c r="F169" s="4">
        <v>62892</v>
      </c>
      <c r="G169" s="4">
        <v>67104</v>
      </c>
      <c r="H169" s="4">
        <v>74097</v>
      </c>
      <c r="I169" s="4">
        <v>76162</v>
      </c>
      <c r="J169" s="4">
        <v>75428</v>
      </c>
      <c r="K169" s="4">
        <v>148819</v>
      </c>
      <c r="L169" s="4">
        <v>282591</v>
      </c>
      <c r="M169" s="4">
        <v>276493</v>
      </c>
      <c r="N169" s="89">
        <v>293380</v>
      </c>
      <c r="O169" s="89">
        <v>300529</v>
      </c>
      <c r="P169" s="89">
        <v>299801</v>
      </c>
    </row>
    <row r="170" spans="1:16" ht="12.75">
      <c r="A170" t="s">
        <v>22</v>
      </c>
      <c r="E170" s="4"/>
      <c r="F170" s="4"/>
      <c r="G170" s="4"/>
      <c r="H170" s="4"/>
      <c r="I170" s="4">
        <v>201761</v>
      </c>
      <c r="J170" s="4">
        <v>205488</v>
      </c>
      <c r="K170" s="4">
        <v>374159</v>
      </c>
      <c r="L170" s="4">
        <v>620244</v>
      </c>
      <c r="M170" s="4">
        <v>676780</v>
      </c>
      <c r="N170" s="89">
        <v>685496</v>
      </c>
      <c r="O170" s="89">
        <v>707601</v>
      </c>
      <c r="P170" s="89">
        <v>706137</v>
      </c>
    </row>
    <row r="171" spans="1:16" ht="12.75">
      <c r="A171" t="s">
        <v>23</v>
      </c>
      <c r="E171" s="4">
        <v>114254</v>
      </c>
      <c r="F171" s="4">
        <v>138584</v>
      </c>
      <c r="G171" s="4">
        <v>151579</v>
      </c>
      <c r="H171" s="4">
        <v>208837</v>
      </c>
      <c r="I171" s="4">
        <v>9418</v>
      </c>
      <c r="J171" s="4">
        <v>10341</v>
      </c>
      <c r="K171" s="4">
        <v>110173</v>
      </c>
      <c r="L171" s="4">
        <v>203516</v>
      </c>
      <c r="M171" s="4">
        <v>196466</v>
      </c>
      <c r="N171" s="89">
        <v>206314</v>
      </c>
      <c r="O171" s="89">
        <v>213072</v>
      </c>
      <c r="P171" s="89">
        <v>210560</v>
      </c>
    </row>
    <row r="172" spans="1:16" ht="12.75">
      <c r="A172" t="s">
        <v>24</v>
      </c>
      <c r="E172" s="4">
        <v>12172</v>
      </c>
      <c r="F172" s="4">
        <v>6151</v>
      </c>
      <c r="G172" s="4">
        <v>2855</v>
      </c>
      <c r="H172" s="4">
        <v>2093</v>
      </c>
      <c r="I172" s="4">
        <v>10160</v>
      </c>
      <c r="J172" s="4">
        <v>5374</v>
      </c>
      <c r="K172" s="4"/>
      <c r="L172" s="4"/>
      <c r="N172" s="89"/>
      <c r="O172" s="89"/>
      <c r="P172" s="89"/>
    </row>
    <row r="173" spans="1:16" ht="13.5" thickBot="1">
      <c r="A173" t="s">
        <v>26</v>
      </c>
      <c r="E173" s="20">
        <v>4638</v>
      </c>
      <c r="F173" s="20">
        <v>5413</v>
      </c>
      <c r="G173" s="20">
        <v>2427</v>
      </c>
      <c r="H173" s="20">
        <v>2526</v>
      </c>
      <c r="I173" s="20">
        <v>3454</v>
      </c>
      <c r="J173" s="20">
        <v>5293</v>
      </c>
      <c r="K173" s="20">
        <v>9936</v>
      </c>
      <c r="L173" s="20">
        <v>22442</v>
      </c>
      <c r="M173" s="20">
        <v>20774</v>
      </c>
      <c r="N173" s="90">
        <v>18889</v>
      </c>
      <c r="O173" s="90">
        <v>20628</v>
      </c>
      <c r="P173" s="90">
        <v>22672</v>
      </c>
    </row>
    <row r="174" spans="1:16" ht="12.75">
      <c r="A174" t="s">
        <v>27</v>
      </c>
      <c r="E174" s="33">
        <f aca="true" t="shared" si="39" ref="E174:M174">SUM(E167:E173)</f>
        <v>342130</v>
      </c>
      <c r="F174" s="33">
        <f t="shared" si="39"/>
        <v>379419</v>
      </c>
      <c r="G174" s="33">
        <f t="shared" si="39"/>
        <v>403881</v>
      </c>
      <c r="H174" s="33">
        <f t="shared" si="39"/>
        <v>488688</v>
      </c>
      <c r="I174" s="33">
        <f t="shared" si="39"/>
        <v>478730</v>
      </c>
      <c r="J174" s="33">
        <f t="shared" si="39"/>
        <v>589733</v>
      </c>
      <c r="K174" s="33">
        <f t="shared" si="39"/>
        <v>1028609</v>
      </c>
      <c r="L174" s="33">
        <f t="shared" si="39"/>
        <v>1715060</v>
      </c>
      <c r="M174" s="33">
        <f t="shared" si="39"/>
        <v>1750231</v>
      </c>
      <c r="N174" s="30">
        <v>1905607</v>
      </c>
      <c r="O174" s="30">
        <v>1990215</v>
      </c>
      <c r="P174" s="30">
        <v>2009099</v>
      </c>
    </row>
    <row r="175" spans="13:14" ht="12.75">
      <c r="M175" s="4"/>
      <c r="N175" s="89"/>
    </row>
    <row r="176" spans="1:17" ht="12.75">
      <c r="A176" t="s">
        <v>36</v>
      </c>
      <c r="M176" s="4"/>
      <c r="N176" s="89"/>
      <c r="P176" s="2"/>
      <c r="Q176" s="2"/>
    </row>
    <row r="177" spans="1:16" ht="13.5" thickBot="1">
      <c r="A177" s="31" t="s">
        <v>46</v>
      </c>
      <c r="B177" s="31">
        <v>1995</v>
      </c>
      <c r="C177" s="31">
        <f>+B177+1</f>
        <v>1996</v>
      </c>
      <c r="D177" s="31">
        <f aca="true" t="shared" si="40" ref="D177:L177">+C177+1</f>
        <v>1997</v>
      </c>
      <c r="E177" s="31">
        <f t="shared" si="40"/>
        <v>1998</v>
      </c>
      <c r="F177" s="31">
        <f t="shared" si="40"/>
        <v>1999</v>
      </c>
      <c r="G177" s="31">
        <f t="shared" si="40"/>
        <v>2000</v>
      </c>
      <c r="H177" s="31">
        <f t="shared" si="40"/>
        <v>2001</v>
      </c>
      <c r="I177" s="31">
        <f t="shared" si="40"/>
        <v>2002</v>
      </c>
      <c r="J177" s="31">
        <f t="shared" si="40"/>
        <v>2003</v>
      </c>
      <c r="K177" s="31">
        <f t="shared" si="40"/>
        <v>2004</v>
      </c>
      <c r="L177" s="31">
        <f t="shared" si="40"/>
        <v>2005</v>
      </c>
      <c r="M177" s="31">
        <v>2006</v>
      </c>
      <c r="N177" s="31">
        <v>2007</v>
      </c>
      <c r="O177" s="29" t="s">
        <v>158</v>
      </c>
      <c r="P177" s="29" t="s">
        <v>159</v>
      </c>
    </row>
    <row r="178" spans="1:16" ht="12.75">
      <c r="A178" t="s">
        <v>37</v>
      </c>
      <c r="E178" s="4">
        <v>2452</v>
      </c>
      <c r="F178" s="4">
        <v>5289</v>
      </c>
      <c r="G178" s="4">
        <v>5781</v>
      </c>
      <c r="H178" s="4">
        <v>7375</v>
      </c>
      <c r="I178" s="4">
        <v>7500</v>
      </c>
      <c r="J178" s="4">
        <v>16875</v>
      </c>
      <c r="K178" s="4">
        <v>32949</v>
      </c>
      <c r="L178" s="4">
        <v>26081</v>
      </c>
      <c r="M178" s="4">
        <v>23789</v>
      </c>
      <c r="N178" s="89">
        <v>25737</v>
      </c>
      <c r="O178" s="89">
        <v>28997</v>
      </c>
      <c r="P178" s="89">
        <v>30642</v>
      </c>
    </row>
    <row r="179" spans="1:16" ht="13.5" thickBot="1">
      <c r="A179" t="s">
        <v>38</v>
      </c>
      <c r="E179" s="20">
        <v>60806</v>
      </c>
      <c r="F179" s="20">
        <v>54320</v>
      </c>
      <c r="G179" s="20">
        <v>62462</v>
      </c>
      <c r="H179" s="20">
        <v>77202</v>
      </c>
      <c r="I179" s="20">
        <v>76709</v>
      </c>
      <c r="J179" s="20">
        <v>84081</v>
      </c>
      <c r="K179" s="20">
        <v>206069</v>
      </c>
      <c r="L179" s="20">
        <v>287763</v>
      </c>
      <c r="M179" s="20">
        <v>302555</v>
      </c>
      <c r="N179" s="90">
        <v>286465</v>
      </c>
      <c r="O179" s="90">
        <v>305398</v>
      </c>
      <c r="P179" s="90">
        <v>295070</v>
      </c>
    </row>
    <row r="180" spans="1:16" ht="12.75">
      <c r="A180" t="s">
        <v>43</v>
      </c>
      <c r="E180" s="4">
        <f>+E179+E178</f>
        <v>63258</v>
      </c>
      <c r="F180" s="4">
        <f aca="true" t="shared" si="41" ref="F180:K180">+F179+F178</f>
        <v>59609</v>
      </c>
      <c r="G180" s="4">
        <f t="shared" si="41"/>
        <v>68243</v>
      </c>
      <c r="H180" s="4">
        <f t="shared" si="41"/>
        <v>84577</v>
      </c>
      <c r="I180" s="4">
        <f t="shared" si="41"/>
        <v>84209</v>
      </c>
      <c r="J180" s="4">
        <f t="shared" si="41"/>
        <v>100956</v>
      </c>
      <c r="K180" s="4">
        <f t="shared" si="41"/>
        <v>239018</v>
      </c>
      <c r="L180" s="4">
        <f>+L179+L178</f>
        <v>313844</v>
      </c>
      <c r="M180" s="4">
        <f>+M179+M178</f>
        <v>326344</v>
      </c>
      <c r="N180" s="89">
        <v>312202</v>
      </c>
      <c r="O180" s="89">
        <v>334395</v>
      </c>
      <c r="P180" s="89">
        <v>325712</v>
      </c>
    </row>
    <row r="181" spans="5:16" ht="12.75">
      <c r="E181" s="4"/>
      <c r="F181" s="4"/>
      <c r="G181" s="4"/>
      <c r="H181" s="4"/>
      <c r="I181" s="4"/>
      <c r="J181" s="4"/>
      <c r="K181" s="4"/>
      <c r="L181" s="4"/>
      <c r="M181" s="4"/>
      <c r="N181" s="89"/>
      <c r="O181" s="89"/>
      <c r="P181" s="89"/>
    </row>
    <row r="182" spans="1:16" ht="12.75">
      <c r="A182" t="s">
        <v>40</v>
      </c>
      <c r="E182" s="4">
        <v>81058</v>
      </c>
      <c r="F182" s="4">
        <v>114200</v>
      </c>
      <c r="G182" s="4">
        <v>115808</v>
      </c>
      <c r="H182" s="4">
        <v>160230</v>
      </c>
      <c r="I182" s="4">
        <v>112663</v>
      </c>
      <c r="J182" s="4">
        <v>165756</v>
      </c>
      <c r="K182" s="4">
        <v>280256</v>
      </c>
      <c r="L182" s="4">
        <v>542641</v>
      </c>
      <c r="M182" s="4">
        <v>383459</v>
      </c>
      <c r="N182" s="89">
        <v>263987</v>
      </c>
      <c r="O182" s="89">
        <v>264416</v>
      </c>
      <c r="P182" s="89">
        <v>219980</v>
      </c>
    </row>
    <row r="183" spans="1:16" ht="12.75">
      <c r="A183" t="s">
        <v>41</v>
      </c>
      <c r="E183" s="4">
        <v>46612</v>
      </c>
      <c r="F183" s="4">
        <v>43377</v>
      </c>
      <c r="G183" s="4">
        <v>39496</v>
      </c>
      <c r="H183" s="4">
        <v>36890</v>
      </c>
      <c r="I183" s="4">
        <v>34539</v>
      </c>
      <c r="J183" s="4">
        <v>32110</v>
      </c>
      <c r="K183" s="4">
        <v>30503</v>
      </c>
      <c r="L183" s="4">
        <v>31387</v>
      </c>
      <c r="M183" s="4">
        <v>22598</v>
      </c>
      <c r="N183" s="89">
        <v>17354</v>
      </c>
      <c r="O183" s="89">
        <v>104695</v>
      </c>
      <c r="P183" s="89">
        <v>106147</v>
      </c>
    </row>
    <row r="184" spans="1:16" ht="12.75">
      <c r="A184" t="s">
        <v>47</v>
      </c>
      <c r="E184" s="4"/>
      <c r="F184" s="4"/>
      <c r="G184" s="4"/>
      <c r="H184" s="4"/>
      <c r="I184" s="4"/>
      <c r="J184" s="4"/>
      <c r="K184" s="4">
        <v>21324</v>
      </c>
      <c r="L184" s="4">
        <v>86171</v>
      </c>
      <c r="M184" s="4">
        <v>66460</v>
      </c>
      <c r="N184" s="89">
        <v>64188</v>
      </c>
      <c r="O184" s="89"/>
      <c r="P184" s="89"/>
    </row>
    <row r="185" spans="1:16" ht="13.5" thickBot="1">
      <c r="A185" t="s">
        <v>42</v>
      </c>
      <c r="E185" s="20">
        <v>8516</v>
      </c>
      <c r="F185" s="20">
        <v>9624</v>
      </c>
      <c r="G185" s="20">
        <v>9186</v>
      </c>
      <c r="H185" s="20">
        <v>8263</v>
      </c>
      <c r="I185" s="20">
        <v>24396</v>
      </c>
      <c r="J185" s="20">
        <v>25006</v>
      </c>
      <c r="K185" s="20">
        <v>52032</v>
      </c>
      <c r="L185" s="20">
        <v>82728</v>
      </c>
      <c r="M185" s="20">
        <v>98840</v>
      </c>
      <c r="N185" s="90">
        <v>88163</v>
      </c>
      <c r="O185" s="90">
        <v>66221</v>
      </c>
      <c r="P185" s="90">
        <v>64908</v>
      </c>
    </row>
    <row r="186" spans="1:16" ht="12.75">
      <c r="A186" t="s">
        <v>39</v>
      </c>
      <c r="E186" s="4">
        <f aca="true" t="shared" si="42" ref="E186:J186">+E185+E183+E182+E180</f>
        <v>199444</v>
      </c>
      <c r="F186" s="4">
        <f t="shared" si="42"/>
        <v>226810</v>
      </c>
      <c r="G186" s="4">
        <f t="shared" si="42"/>
        <v>232733</v>
      </c>
      <c r="H186" s="4">
        <f t="shared" si="42"/>
        <v>289960</v>
      </c>
      <c r="I186" s="4">
        <f t="shared" si="42"/>
        <v>255807</v>
      </c>
      <c r="J186" s="4">
        <f t="shared" si="42"/>
        <v>323828</v>
      </c>
      <c r="K186" s="4">
        <f>+K185+K183+K182+K180+K184</f>
        <v>623133</v>
      </c>
      <c r="L186" s="4">
        <f>+L185+L183+L182+L180+L184</f>
        <v>1056771</v>
      </c>
      <c r="M186" s="4">
        <f>+M185+M183+M182+M180+M184</f>
        <v>897701</v>
      </c>
      <c r="N186" s="89">
        <v>745894</v>
      </c>
      <c r="O186" s="89">
        <v>769727</v>
      </c>
      <c r="P186" s="89">
        <v>716747</v>
      </c>
    </row>
    <row r="187" spans="5:13" ht="12.75">
      <c r="E187" s="4"/>
      <c r="F187" s="4"/>
      <c r="G187" s="4"/>
      <c r="H187" s="4"/>
      <c r="I187" s="4"/>
      <c r="J187" s="4"/>
      <c r="K187" s="4"/>
      <c r="L187" s="4"/>
      <c r="M187" s="4"/>
    </row>
    <row r="188" spans="1:16" ht="13.5" thickBot="1">
      <c r="A188" t="s">
        <v>44</v>
      </c>
      <c r="E188" s="20">
        <v>142686</v>
      </c>
      <c r="F188" s="20">
        <v>152609</v>
      </c>
      <c r="G188" s="20">
        <v>171148</v>
      </c>
      <c r="H188" s="20">
        <v>198728</v>
      </c>
      <c r="I188" s="20">
        <v>222923</v>
      </c>
      <c r="J188" s="20">
        <v>265905</v>
      </c>
      <c r="K188" s="20">
        <v>405476</v>
      </c>
      <c r="L188" s="20">
        <v>658289</v>
      </c>
      <c r="M188" s="20">
        <f>+M174-M186</f>
        <v>852530</v>
      </c>
      <c r="N188" s="90">
        <v>1159713</v>
      </c>
      <c r="O188" s="90">
        <v>1220488</v>
      </c>
      <c r="P188" s="90">
        <v>1292352</v>
      </c>
    </row>
    <row r="189" spans="1:16" ht="12.75">
      <c r="A189" t="s">
        <v>45</v>
      </c>
      <c r="E189" s="4">
        <f>+E188+E186</f>
        <v>342130</v>
      </c>
      <c r="F189" s="4">
        <f aca="true" t="shared" si="43" ref="F189:K189">+F188+F186</f>
        <v>379419</v>
      </c>
      <c r="G189" s="4">
        <f t="shared" si="43"/>
        <v>403881</v>
      </c>
      <c r="H189" s="4">
        <f t="shared" si="43"/>
        <v>488688</v>
      </c>
      <c r="I189" s="4">
        <f t="shared" si="43"/>
        <v>478730</v>
      </c>
      <c r="J189" s="4">
        <f t="shared" si="43"/>
        <v>589733</v>
      </c>
      <c r="K189" s="4">
        <f t="shared" si="43"/>
        <v>1028609</v>
      </c>
      <c r="L189" s="4">
        <f>+L188+L186</f>
        <v>1715060</v>
      </c>
      <c r="M189" s="4">
        <f>+M188+M186</f>
        <v>1750231</v>
      </c>
      <c r="N189" s="89">
        <v>1905607</v>
      </c>
      <c r="O189" s="89">
        <v>1990215</v>
      </c>
      <c r="P189" s="89">
        <v>2009099</v>
      </c>
    </row>
    <row r="190" ht="12.75">
      <c r="M190" s="4"/>
    </row>
    <row r="192" ht="20.25">
      <c r="A192" s="84" t="s">
        <v>137</v>
      </c>
    </row>
    <row r="193" spans="1:16" ht="13.5" thickBot="1">
      <c r="A193" t="s">
        <v>89</v>
      </c>
      <c r="B193" s="31">
        <v>1995</v>
      </c>
      <c r="C193" s="31">
        <f>+B193+1</f>
        <v>1996</v>
      </c>
      <c r="D193" s="31">
        <f aca="true" t="shared" si="44" ref="D193:L193">+C193+1</f>
        <v>1997</v>
      </c>
      <c r="E193" s="31">
        <f t="shared" si="44"/>
        <v>1998</v>
      </c>
      <c r="F193" s="31">
        <f t="shared" si="44"/>
        <v>1999</v>
      </c>
      <c r="G193" s="31">
        <f t="shared" si="44"/>
        <v>2000</v>
      </c>
      <c r="H193" s="31">
        <f t="shared" si="44"/>
        <v>2001</v>
      </c>
      <c r="I193" s="31">
        <f t="shared" si="44"/>
        <v>2002</v>
      </c>
      <c r="J193" s="31">
        <f t="shared" si="44"/>
        <v>2003</v>
      </c>
      <c r="K193" s="31">
        <f t="shared" si="44"/>
        <v>2004</v>
      </c>
      <c r="L193" s="31">
        <f t="shared" si="44"/>
        <v>2005</v>
      </c>
      <c r="M193" s="29">
        <v>2006</v>
      </c>
      <c r="N193" s="31">
        <v>2007</v>
      </c>
      <c r="O193" s="29" t="s">
        <v>158</v>
      </c>
      <c r="P193" s="29" t="s">
        <v>159</v>
      </c>
    </row>
    <row r="194" spans="1:17" ht="12.75">
      <c r="A194" t="s">
        <v>141</v>
      </c>
      <c r="C194" s="1">
        <f aca="true" t="shared" si="45" ref="C194:K194">+(C146-B146)/B146</f>
        <v>-0.020089555851385697</v>
      </c>
      <c r="D194" s="1">
        <f t="shared" si="45"/>
        <v>0.19328146226997653</v>
      </c>
      <c r="E194" s="1">
        <f t="shared" si="45"/>
        <v>0.34320016559718486</v>
      </c>
      <c r="F194" s="1">
        <f t="shared" si="45"/>
        <v>0.09585452303898906</v>
      </c>
      <c r="G194" s="1">
        <f t="shared" si="45"/>
        <v>0.116650260160315</v>
      </c>
      <c r="H194" s="1">
        <f t="shared" si="45"/>
        <v>0.10616459920659908</v>
      </c>
      <c r="I194" s="1">
        <f t="shared" si="45"/>
        <v>-0.19513861217054704</v>
      </c>
      <c r="J194" s="1">
        <f t="shared" si="45"/>
        <v>0.03020015559799137</v>
      </c>
      <c r="K194" s="1">
        <f t="shared" si="45"/>
        <v>0.5035699574351229</v>
      </c>
      <c r="L194" s="1">
        <f>+(L146-K146)/K146</f>
        <v>0.749783114926259</v>
      </c>
      <c r="M194" s="1">
        <f>+(M146-L146)/L146</f>
        <v>0.3623767026773133</v>
      </c>
      <c r="N194" s="1"/>
      <c r="O194" s="1"/>
      <c r="P194" s="1"/>
      <c r="Q194" s="1"/>
    </row>
    <row r="195" spans="1:17" ht="12.75">
      <c r="A195" s="35" t="s">
        <v>1</v>
      </c>
      <c r="B195" s="35"/>
      <c r="C195" s="38">
        <f aca="true" t="shared" si="46" ref="C195:K195">+(C$143-B$143)/B$143</f>
        <v>0.13813752669141333</v>
      </c>
      <c r="D195" s="38">
        <f t="shared" si="46"/>
        <v>0.3373715596330275</v>
      </c>
      <c r="E195" s="38">
        <f t="shared" si="46"/>
        <v>0.32051435960582686</v>
      </c>
      <c r="F195" s="97">
        <f t="shared" si="46"/>
        <v>-0.1588838209625135</v>
      </c>
      <c r="G195" s="97">
        <f t="shared" si="46"/>
        <v>0.17149800971518392</v>
      </c>
      <c r="H195" s="97">
        <f t="shared" si="46"/>
        <v>0.10652734356465397</v>
      </c>
      <c r="I195" s="98">
        <f t="shared" si="46"/>
        <v>-0.0038401982037782594</v>
      </c>
      <c r="J195" s="97">
        <f t="shared" si="46"/>
        <v>0.05110986756202201</v>
      </c>
      <c r="K195" s="97">
        <f t="shared" si="46"/>
        <v>0.68256774281619</v>
      </c>
      <c r="L195" s="97">
        <f>+(L$143-K$143)/K$143</f>
        <v>0.6423096009811518</v>
      </c>
      <c r="M195" s="97">
        <f>+(M$143-L$143)/L$143</f>
        <v>0.37431415040278226</v>
      </c>
      <c r="N195" s="97">
        <f>+(N$143-M$143)/M$143</f>
        <v>0.11962069907547197</v>
      </c>
      <c r="O195" s="97">
        <f>+(O$143*4-N$143)/N$143</f>
        <v>0.06091252132334213</v>
      </c>
      <c r="P195" s="97">
        <f>+(P$143-O$143)/O$143</f>
        <v>0.04527609094760627</v>
      </c>
      <c r="Q195" s="25"/>
    </row>
    <row r="196" spans="1:17" ht="12.75">
      <c r="A196" t="s">
        <v>95</v>
      </c>
      <c r="E196" s="8">
        <f aca="true" t="shared" si="47" ref="E196:N196">+E147/(E178+E182)</f>
        <v>0.05806490240689738</v>
      </c>
      <c r="F196" s="8">
        <f t="shared" si="47"/>
        <v>0.04966147511486413</v>
      </c>
      <c r="G196" s="8">
        <f t="shared" si="47"/>
        <v>0.06307313983995262</v>
      </c>
      <c r="H196" s="8">
        <f t="shared" si="47"/>
        <v>0.040547716356910596</v>
      </c>
      <c r="I196" s="8">
        <f t="shared" si="47"/>
        <v>0.052969716135582504</v>
      </c>
      <c r="J196" s="8">
        <f t="shared" si="47"/>
        <v>0.025997776938197787</v>
      </c>
      <c r="K196" s="8">
        <f t="shared" si="47"/>
        <v>0.032253635797640526</v>
      </c>
      <c r="L196" s="8">
        <f t="shared" si="47"/>
        <v>0.05351120582639673</v>
      </c>
      <c r="M196" s="8">
        <f t="shared" si="47"/>
        <v>0.09178436726515539</v>
      </c>
      <c r="N196" s="8">
        <f t="shared" si="47"/>
        <v>0.09046886001850037</v>
      </c>
      <c r="O196" s="8"/>
      <c r="P196" s="8"/>
      <c r="Q196" s="8"/>
    </row>
    <row r="197" spans="1:17" ht="12.75">
      <c r="A197" t="s">
        <v>154</v>
      </c>
      <c r="B197" s="1">
        <f aca="true" t="shared" si="48" ref="B197:L197">+B144/B143</f>
        <v>0.6937209265901295</v>
      </c>
      <c r="C197" s="1">
        <f t="shared" si="48"/>
        <v>0.6797752293577982</v>
      </c>
      <c r="D197" s="1">
        <f t="shared" si="48"/>
        <v>0.6572422285257609</v>
      </c>
      <c r="E197" s="1">
        <f t="shared" si="48"/>
        <v>0.6567461142049705</v>
      </c>
      <c r="F197" s="1">
        <f t="shared" si="48"/>
        <v>0.6822183723824435</v>
      </c>
      <c r="G197" s="1">
        <f t="shared" si="48"/>
        <v>0.7072211473067657</v>
      </c>
      <c r="H197" s="1">
        <f t="shared" si="48"/>
        <v>0.7009767253495962</v>
      </c>
      <c r="I197" s="1">
        <f t="shared" si="48"/>
        <v>0.6926353196638592</v>
      </c>
      <c r="J197" s="1">
        <f t="shared" si="48"/>
        <v>0.7001865629194822</v>
      </c>
      <c r="K197" s="1">
        <f t="shared" si="48"/>
        <v>0.6739806825603518</v>
      </c>
      <c r="L197" s="1">
        <f t="shared" si="48"/>
        <v>0.6695695202840224</v>
      </c>
      <c r="M197" s="1">
        <f>+M144/M143</f>
        <v>0.6494563784765657</v>
      </c>
      <c r="N197" s="1">
        <f>+N144/N143</f>
        <v>0.6682853143440544</v>
      </c>
      <c r="O197" s="1"/>
      <c r="P197" s="1"/>
      <c r="Q197" s="1"/>
    </row>
    <row r="198" spans="1:17" ht="12.75">
      <c r="A198" t="s">
        <v>155</v>
      </c>
      <c r="B198" s="1">
        <f aca="true" t="shared" si="49" ref="B198:L198">+B145/B143</f>
        <v>0.13381991323006562</v>
      </c>
      <c r="C198" s="1">
        <f t="shared" si="49"/>
        <v>0.13838990825688074</v>
      </c>
      <c r="D198" s="1">
        <f t="shared" si="49"/>
        <v>0.13698648931390137</v>
      </c>
      <c r="E198" s="1">
        <f t="shared" si="49"/>
        <v>0.1397249812983127</v>
      </c>
      <c r="F198" s="1">
        <f t="shared" si="49"/>
        <v>0.16391670758408142</v>
      </c>
      <c r="G198" s="1">
        <f t="shared" si="49"/>
        <v>0.1575925642796514</v>
      </c>
      <c r="H198" s="1">
        <f t="shared" si="49"/>
        <v>0.1659908997784501</v>
      </c>
      <c r="I198" s="1">
        <f t="shared" si="49"/>
        <v>0.1898803801433908</v>
      </c>
      <c r="J198" s="1">
        <f t="shared" si="49"/>
        <v>0.1941300935089755</v>
      </c>
      <c r="K198" s="1">
        <f t="shared" si="49"/>
        <v>0.21290695960591666</v>
      </c>
      <c r="L198" s="1">
        <f t="shared" si="49"/>
        <v>0.19955341558039508</v>
      </c>
      <c r="M198" s="1">
        <f>+M145/M143</f>
        <v>0.17843355044644782</v>
      </c>
      <c r="N198" s="1">
        <f>+N145/N143</f>
        <v>0.17572574275862513</v>
      </c>
      <c r="O198" s="1"/>
      <c r="P198" s="1"/>
      <c r="Q198" s="1"/>
    </row>
    <row r="200" ht="12.75">
      <c r="A200" s="17" t="s">
        <v>17</v>
      </c>
    </row>
    <row r="201" spans="1:16" ht="13.5" thickBot="1">
      <c r="A201" s="17" t="s">
        <v>89</v>
      </c>
      <c r="E201" s="31">
        <v>1998</v>
      </c>
      <c r="F201" s="31">
        <f aca="true" t="shared" si="50" ref="F201:L201">+E201+1</f>
        <v>1999</v>
      </c>
      <c r="G201" s="31">
        <f t="shared" si="50"/>
        <v>2000</v>
      </c>
      <c r="H201" s="31">
        <f t="shared" si="50"/>
        <v>2001</v>
      </c>
      <c r="I201" s="31">
        <f t="shared" si="50"/>
        <v>2002</v>
      </c>
      <c r="J201" s="31">
        <f t="shared" si="50"/>
        <v>2003</v>
      </c>
      <c r="K201" s="31">
        <f t="shared" si="50"/>
        <v>2004</v>
      </c>
      <c r="L201" s="31">
        <f t="shared" si="50"/>
        <v>2005</v>
      </c>
      <c r="M201" s="29">
        <v>2006</v>
      </c>
      <c r="N201" s="31">
        <v>2007</v>
      </c>
      <c r="O201" s="29" t="s">
        <v>158</v>
      </c>
      <c r="P201" s="29" t="s">
        <v>159</v>
      </c>
    </row>
    <row r="202" spans="1:18" ht="12.75">
      <c r="A202" s="35" t="s">
        <v>16</v>
      </c>
      <c r="B202" s="35"/>
      <c r="C202" s="35"/>
      <c r="D202" s="35"/>
      <c r="E202" s="38">
        <f aca="true" t="shared" si="51" ref="E202:L202">+E162/E143</f>
        <v>0.06357015210705677</v>
      </c>
      <c r="F202" s="38">
        <f t="shared" si="51"/>
        <v>0.08435781275573384</v>
      </c>
      <c r="G202" s="38">
        <f t="shared" si="51"/>
        <v>0.07971098540165227</v>
      </c>
      <c r="H202" s="38">
        <f t="shared" si="51"/>
        <v>0.07142006336803487</v>
      </c>
      <c r="I202" s="38">
        <f t="shared" si="51"/>
        <v>0.061381104749879234</v>
      </c>
      <c r="J202" s="38">
        <f t="shared" si="51"/>
        <v>0.30214774873159966</v>
      </c>
      <c r="K202" s="38">
        <f t="shared" si="51"/>
        <v>0.08735306724865084</v>
      </c>
      <c r="L202" s="38">
        <f t="shared" si="51"/>
        <v>0.0913143282461352</v>
      </c>
      <c r="M202" s="38">
        <f>+M162/M143</f>
        <v>0.03734237731671196</v>
      </c>
      <c r="N202" s="38">
        <f>+N162/N143</f>
        <v>0.04972164610850344</v>
      </c>
      <c r="O202" s="38">
        <f>+O162/(O143*4)</f>
        <v>0.056037787237476544</v>
      </c>
      <c r="P202" s="38">
        <f>+P162/(P143*4)</f>
        <v>0.06134484435797665</v>
      </c>
      <c r="Q202" s="1"/>
      <c r="R202" s="1"/>
    </row>
    <row r="203" spans="1:16" ht="12.75">
      <c r="A203" s="35" t="s">
        <v>28</v>
      </c>
      <c r="B203" s="35"/>
      <c r="C203" s="35"/>
      <c r="D203" s="35"/>
      <c r="E203" s="38">
        <f aca="true" t="shared" si="52" ref="E203:L203">+E163/E143</f>
        <v>0.18082713407031833</v>
      </c>
      <c r="F203" s="38">
        <f t="shared" si="52"/>
        <v>0.22318365279797914</v>
      </c>
      <c r="G203" s="38">
        <f t="shared" si="52"/>
        <v>0.2094275064714597</v>
      </c>
      <c r="H203" s="38">
        <f t="shared" si="52"/>
        <v>0.2037734950091717</v>
      </c>
      <c r="I203" s="38">
        <f t="shared" si="52"/>
        <v>0.17813840701361686</v>
      </c>
      <c r="J203" s="38">
        <f t="shared" si="52"/>
        <v>0.1850726912838714</v>
      </c>
      <c r="K203" s="38">
        <f t="shared" si="52"/>
        <v>0.22166106182364959</v>
      </c>
      <c r="L203" s="38">
        <f t="shared" si="52"/>
        <v>0.18893139198651024</v>
      </c>
      <c r="M203" s="38">
        <f>+M163/M143</f>
        <v>0.15643347376190408</v>
      </c>
      <c r="N203" s="38">
        <f>+N163/N143</f>
        <v>0.1652080109415232</v>
      </c>
      <c r="O203" s="38">
        <f>+O163/(O143*4)</f>
        <v>0.17478766114552022</v>
      </c>
      <c r="P203" s="38">
        <f>+P163/(P143*4)</f>
        <v>0.1709760630906059</v>
      </c>
    </row>
    <row r="204" spans="1:15" ht="12.75">
      <c r="A204" t="s">
        <v>29</v>
      </c>
      <c r="E204" s="9">
        <f aca="true" t="shared" si="53" ref="E204:L204">+E163/(E143/365)</f>
        <v>66.0019039356662</v>
      </c>
      <c r="F204" s="9">
        <f t="shared" si="53"/>
        <v>81.46203327126238</v>
      </c>
      <c r="G204" s="9">
        <f t="shared" si="53"/>
        <v>76.44103986208277</v>
      </c>
      <c r="H204" s="9">
        <f t="shared" si="53"/>
        <v>74.37732567834766</v>
      </c>
      <c r="I204" s="9">
        <f t="shared" si="53"/>
        <v>65.02051855997016</v>
      </c>
      <c r="J204" s="9">
        <f t="shared" si="53"/>
        <v>67.55153231861307</v>
      </c>
      <c r="K204" s="9">
        <f t="shared" si="53"/>
        <v>80.9062875656321</v>
      </c>
      <c r="L204" s="9">
        <f t="shared" si="53"/>
        <v>68.95995807507624</v>
      </c>
      <c r="M204" s="9">
        <f>+M163/(M143/365)</f>
        <v>57.09821792309499</v>
      </c>
      <c r="N204" s="9">
        <f>+N163/(N143/365)</f>
        <v>60.30092399365597</v>
      </c>
      <c r="O204" s="9"/>
    </row>
    <row r="205" spans="1:16" ht="12.75">
      <c r="A205" s="35" t="s">
        <v>30</v>
      </c>
      <c r="B205" s="35"/>
      <c r="C205" s="35"/>
      <c r="D205" s="35"/>
      <c r="E205" s="38">
        <f>+E164/E144</f>
        <v>0.21007190261111683</v>
      </c>
      <c r="F205" s="38">
        <f aca="true" t="shared" si="54" ref="F205:L205">+F164/F144</f>
        <v>0.27320544274346137</v>
      </c>
      <c r="G205" s="38">
        <f t="shared" si="54"/>
        <v>0.2308770360430877</v>
      </c>
      <c r="H205" s="38">
        <f t="shared" si="54"/>
        <v>0.2604936635298676</v>
      </c>
      <c r="I205" s="38">
        <f t="shared" si="54"/>
        <v>0.2328756245015209</v>
      </c>
      <c r="J205" s="38">
        <f t="shared" si="54"/>
        <v>0.20902152050508038</v>
      </c>
      <c r="K205" s="38">
        <f t="shared" si="54"/>
        <v>0.27764101638127336</v>
      </c>
      <c r="L205" s="38">
        <f t="shared" si="54"/>
        <v>0.254942346970772</v>
      </c>
      <c r="M205" s="38">
        <f>+M164/M144</f>
        <v>0.20761546671438863</v>
      </c>
      <c r="N205" s="38">
        <f>+N164/N144</f>
        <v>0.2053340443470804</v>
      </c>
      <c r="O205" s="38">
        <f>+O164/(O144*4)</f>
        <v>0.19958560644127007</v>
      </c>
      <c r="P205" s="38">
        <f>+P164/(P144*4)</f>
        <v>0.18743504379903836</v>
      </c>
    </row>
    <row r="206" spans="1:15" ht="12.75">
      <c r="A206" t="s">
        <v>31</v>
      </c>
      <c r="E206" s="10">
        <f aca="true" t="shared" si="55" ref="E206:L206">+E164/(E144/365)</f>
        <v>76.67624445305763</v>
      </c>
      <c r="F206" s="10">
        <f t="shared" si="55"/>
        <v>99.71998660136339</v>
      </c>
      <c r="G206" s="10">
        <f t="shared" si="55"/>
        <v>84.27011815572702</v>
      </c>
      <c r="H206" s="10">
        <f t="shared" si="55"/>
        <v>95.08018718840165</v>
      </c>
      <c r="I206" s="10">
        <f t="shared" si="55"/>
        <v>84.99960294305514</v>
      </c>
      <c r="J206" s="10">
        <f t="shared" si="55"/>
        <v>76.29285498435434</v>
      </c>
      <c r="K206" s="10">
        <f t="shared" si="55"/>
        <v>101.33897097916478</v>
      </c>
      <c r="L206" s="10">
        <f t="shared" si="55"/>
        <v>93.05395664433178</v>
      </c>
      <c r="M206" s="10">
        <f>+M164/(M144/365)</f>
        <v>75.77964535075185</v>
      </c>
      <c r="N206" s="10">
        <f>+N164/(N144/365)</f>
        <v>74.94692618668435</v>
      </c>
      <c r="O206" s="10"/>
    </row>
    <row r="207" spans="1:16" ht="12.75">
      <c r="A207" t="s">
        <v>32</v>
      </c>
      <c r="E207" s="1">
        <f aca="true" t="shared" si="56" ref="E207:L207">+E169/E143</f>
        <v>0.15392787382594963</v>
      </c>
      <c r="F207" s="1">
        <f t="shared" si="56"/>
        <v>0.19421721125429633</v>
      </c>
      <c r="G207" s="1">
        <f t="shared" si="56"/>
        <v>0.1768883218490186</v>
      </c>
      <c r="H207" s="1">
        <f t="shared" si="56"/>
        <v>0.17651809324153703</v>
      </c>
      <c r="I207" s="1">
        <f t="shared" si="56"/>
        <v>0.1821368956231855</v>
      </c>
      <c r="J207" s="1">
        <f t="shared" si="56"/>
        <v>0.17161058403294427</v>
      </c>
      <c r="K207" s="1">
        <f t="shared" si="56"/>
        <v>0.20123211892814308</v>
      </c>
      <c r="L207" s="1">
        <f t="shared" si="56"/>
        <v>0.23267097662347927</v>
      </c>
      <c r="M207" s="1">
        <f>+M169/M143</f>
        <v>0.16564640277598047</v>
      </c>
      <c r="N207" s="1">
        <f>+N169/N143</f>
        <v>0.15698474565025225</v>
      </c>
      <c r="O207" s="1"/>
      <c r="P207" s="3"/>
    </row>
    <row r="208" spans="1:16" ht="12.75">
      <c r="A208" s="35" t="s">
        <v>96</v>
      </c>
      <c r="B208" s="35"/>
      <c r="C208" s="35"/>
      <c r="D208" s="35"/>
      <c r="E208" s="38">
        <f aca="true" t="shared" si="57" ref="E208:N208">+E179/E143</f>
        <v>0.1579409442274125</v>
      </c>
      <c r="F208" s="38">
        <f t="shared" si="57"/>
        <v>0.1677459599843124</v>
      </c>
      <c r="G208" s="38">
        <f t="shared" si="57"/>
        <v>0.16465185919369038</v>
      </c>
      <c r="H208" s="38">
        <f t="shared" si="57"/>
        <v>0.18391500107201564</v>
      </c>
      <c r="I208" s="38">
        <f t="shared" si="57"/>
        <v>0.18344501360729676</v>
      </c>
      <c r="J208" s="38">
        <f t="shared" si="57"/>
        <v>0.19129752235342298</v>
      </c>
      <c r="K208" s="38">
        <f t="shared" si="57"/>
        <v>0.2786452100565352</v>
      </c>
      <c r="L208" s="38">
        <f t="shared" si="57"/>
        <v>0.23692933690776516</v>
      </c>
      <c r="M208" s="38">
        <f t="shared" si="57"/>
        <v>0.1812600948012672</v>
      </c>
      <c r="N208" s="38">
        <f t="shared" si="57"/>
        <v>0.15328459732326508</v>
      </c>
      <c r="O208" s="38">
        <f>+O179/(O143*4)</f>
        <v>0.15403292513164</v>
      </c>
      <c r="P208" s="38">
        <f>+P179/(P143*4)</f>
        <v>0.14237751683033784</v>
      </c>
    </row>
    <row r="209" spans="1:15" ht="12.75">
      <c r="A209" t="s">
        <v>33</v>
      </c>
      <c r="F209" s="25">
        <f>+(F169-E169)/F169</f>
        <v>0.057733893022959996</v>
      </c>
      <c r="G209" s="25">
        <f aca="true" t="shared" si="58" ref="G209:N209">+(G169-F169)/G169</f>
        <v>0.06276824034334764</v>
      </c>
      <c r="H209" s="25">
        <f t="shared" si="58"/>
        <v>0.09437629053807846</v>
      </c>
      <c r="I209" s="25">
        <f t="shared" si="58"/>
        <v>0.02711325858039442</v>
      </c>
      <c r="J209" s="25">
        <f t="shared" si="58"/>
        <v>-0.009731134326775203</v>
      </c>
      <c r="K209" s="25">
        <f t="shared" si="58"/>
        <v>0.4931561158185447</v>
      </c>
      <c r="L209" s="25">
        <f t="shared" si="58"/>
        <v>0.4733767175883167</v>
      </c>
      <c r="M209" s="25">
        <f t="shared" si="58"/>
        <v>-0.02205480789748746</v>
      </c>
      <c r="N209" s="25">
        <f t="shared" si="58"/>
        <v>0.05756016088349581</v>
      </c>
      <c r="O209" s="11"/>
    </row>
    <row r="210" spans="6:15" ht="12.75"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2" spans="1:16" ht="13.5" thickBot="1">
      <c r="A212" s="17" t="s">
        <v>75</v>
      </c>
      <c r="E212" s="31">
        <v>1998</v>
      </c>
      <c r="F212" s="31">
        <f aca="true" t="shared" si="59" ref="F212:L212">+E212+1</f>
        <v>1999</v>
      </c>
      <c r="G212" s="31">
        <f t="shared" si="59"/>
        <v>2000</v>
      </c>
      <c r="H212" s="31">
        <f t="shared" si="59"/>
        <v>2001</v>
      </c>
      <c r="I212" s="31">
        <f t="shared" si="59"/>
        <v>2002</v>
      </c>
      <c r="J212" s="31">
        <f t="shared" si="59"/>
        <v>2003</v>
      </c>
      <c r="K212" s="31">
        <f t="shared" si="59"/>
        <v>2004</v>
      </c>
      <c r="L212" s="31">
        <f t="shared" si="59"/>
        <v>2005</v>
      </c>
      <c r="M212" s="29">
        <v>2006</v>
      </c>
      <c r="N212" s="31">
        <v>2007</v>
      </c>
      <c r="O212" s="29" t="s">
        <v>158</v>
      </c>
      <c r="P212" s="29" t="s">
        <v>159</v>
      </c>
    </row>
    <row r="213" spans="1:15" ht="12.75">
      <c r="A213" t="s">
        <v>48</v>
      </c>
      <c r="E213" s="9">
        <f aca="true" t="shared" si="60" ref="E213:L214">+E143/E163</f>
        <v>5.53014349943261</v>
      </c>
      <c r="F213" s="9">
        <f t="shared" si="60"/>
        <v>4.480614899269427</v>
      </c>
      <c r="G213" s="9">
        <f t="shared" si="60"/>
        <v>4.774921961534589</v>
      </c>
      <c r="H213" s="9">
        <f t="shared" si="60"/>
        <v>4.907409572353807</v>
      </c>
      <c r="I213" s="9">
        <f t="shared" si="60"/>
        <v>5.613612565445026</v>
      </c>
      <c r="J213" s="9">
        <f t="shared" si="60"/>
        <v>5.403282316061221</v>
      </c>
      <c r="K213" s="9">
        <f t="shared" si="60"/>
        <v>4.511392266069653</v>
      </c>
      <c r="L213" s="9">
        <f t="shared" si="60"/>
        <v>5.292926651762563</v>
      </c>
      <c r="M213" s="9">
        <f>+M143/M163</f>
        <v>6.392493728816805</v>
      </c>
      <c r="N213" s="9">
        <f>+N143/N163</f>
        <v>6.052975241944887</v>
      </c>
      <c r="O213" s="9"/>
    </row>
    <row r="214" spans="1:15" ht="12.75">
      <c r="A214" t="s">
        <v>49</v>
      </c>
      <c r="E214" s="10">
        <f t="shared" si="60"/>
        <v>4.760274875270639</v>
      </c>
      <c r="F214" s="10">
        <f t="shared" si="60"/>
        <v>3.660249188150308</v>
      </c>
      <c r="G214" s="10">
        <f t="shared" si="60"/>
        <v>4.331309935100578</v>
      </c>
      <c r="H214" s="10">
        <f t="shared" si="60"/>
        <v>3.8388649706457927</v>
      </c>
      <c r="I214" s="10">
        <f t="shared" si="60"/>
        <v>4.294137706084688</v>
      </c>
      <c r="J214" s="10">
        <f t="shared" si="60"/>
        <v>4.784196371663532</v>
      </c>
      <c r="K214" s="10">
        <f t="shared" si="60"/>
        <v>3.6017733007674186</v>
      </c>
      <c r="L214" s="10">
        <f t="shared" si="60"/>
        <v>3.922455456623868</v>
      </c>
      <c r="M214" s="10">
        <f>+M144/M164</f>
        <v>4.816596835608952</v>
      </c>
      <c r="N214" s="10">
        <f>+N144/N164</f>
        <v>4.870113006246929</v>
      </c>
      <c r="O214" s="10"/>
    </row>
    <row r="215" spans="1:15" ht="12.75">
      <c r="A215" t="s">
        <v>50</v>
      </c>
      <c r="E215" s="14">
        <f aca="true" t="shared" si="61" ref="E215:L215">+E143/E169</f>
        <v>6.496549163868312</v>
      </c>
      <c r="F215" s="14">
        <f t="shared" si="61"/>
        <v>5.148874260637283</v>
      </c>
      <c r="G215" s="14">
        <f t="shared" si="61"/>
        <v>5.653284453981879</v>
      </c>
      <c r="H215" s="14">
        <f t="shared" si="61"/>
        <v>5.665141638662834</v>
      </c>
      <c r="I215" s="14">
        <f t="shared" si="61"/>
        <v>5.4903757779470075</v>
      </c>
      <c r="J215" s="14">
        <f t="shared" si="61"/>
        <v>5.827146417775892</v>
      </c>
      <c r="K215" s="14">
        <f t="shared" si="61"/>
        <v>4.969385629523112</v>
      </c>
      <c r="L215" s="14">
        <f t="shared" si="61"/>
        <v>4.297914654040645</v>
      </c>
      <c r="M215" s="14">
        <f>+M143/M169</f>
        <v>6.036955727631441</v>
      </c>
      <c r="N215" s="14">
        <f>+N143/N169</f>
        <v>6.3700456745517755</v>
      </c>
      <c r="O215" s="14"/>
    </row>
    <row r="216" spans="1:15" ht="12.75">
      <c r="A216" t="s">
        <v>51</v>
      </c>
      <c r="E216" s="13">
        <f aca="true" t="shared" si="62" ref="E216:N216">+E143/E174</f>
        <v>1.1252798643790372</v>
      </c>
      <c r="F216" s="15">
        <f t="shared" si="62"/>
        <v>0.8534707012563947</v>
      </c>
      <c r="G216" s="15">
        <f t="shared" si="62"/>
        <v>0.9392816200811626</v>
      </c>
      <c r="H216" s="15">
        <f t="shared" si="62"/>
        <v>0.8589734145303343</v>
      </c>
      <c r="I216" s="15">
        <f t="shared" si="62"/>
        <v>0.8734735654753201</v>
      </c>
      <c r="J216" s="15">
        <f t="shared" si="62"/>
        <v>0.7453033830564001</v>
      </c>
      <c r="K216" s="15">
        <f t="shared" si="62"/>
        <v>0.7189699876240632</v>
      </c>
      <c r="L216" s="15">
        <f t="shared" si="62"/>
        <v>0.7081688104206267</v>
      </c>
      <c r="M216" s="15">
        <f t="shared" si="62"/>
        <v>0.953688970198791</v>
      </c>
      <c r="N216" s="15">
        <f t="shared" si="62"/>
        <v>0.9807079843850279</v>
      </c>
      <c r="O216" s="15"/>
    </row>
    <row r="217" spans="5:15" ht="12.75">
      <c r="E217" s="13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6:15" ht="12.75"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6" ht="13.5" thickBot="1">
      <c r="A219" s="17" t="s">
        <v>52</v>
      </c>
      <c r="E219" s="31">
        <v>1998</v>
      </c>
      <c r="F219" s="31">
        <f aca="true" t="shared" si="63" ref="F219:L219">+E219+1</f>
        <v>1999</v>
      </c>
      <c r="G219" s="31">
        <f t="shared" si="63"/>
        <v>2000</v>
      </c>
      <c r="H219" s="31">
        <f t="shared" si="63"/>
        <v>2001</v>
      </c>
      <c r="I219" s="31">
        <f t="shared" si="63"/>
        <v>2002</v>
      </c>
      <c r="J219" s="31">
        <f t="shared" si="63"/>
        <v>2003</v>
      </c>
      <c r="K219" s="31">
        <f t="shared" si="63"/>
        <v>2004</v>
      </c>
      <c r="L219" s="31">
        <f t="shared" si="63"/>
        <v>2005</v>
      </c>
      <c r="M219" s="29">
        <v>2006</v>
      </c>
      <c r="N219" s="31">
        <v>2007</v>
      </c>
      <c r="O219" s="29" t="s">
        <v>158</v>
      </c>
      <c r="P219" s="29" t="s">
        <v>159</v>
      </c>
    </row>
    <row r="220" spans="1:15" ht="12.75">
      <c r="A220" t="s">
        <v>53</v>
      </c>
      <c r="E220" s="13">
        <f aca="true" t="shared" si="64" ref="E220:N220">+E167/E180</f>
        <v>2.3997755224635617</v>
      </c>
      <c r="F220" s="13">
        <f t="shared" si="64"/>
        <v>2.791172473955275</v>
      </c>
      <c r="G220" s="13">
        <f t="shared" si="64"/>
        <v>2.6364022683645207</v>
      </c>
      <c r="H220" s="13">
        <f t="shared" si="64"/>
        <v>2.3781288057036782</v>
      </c>
      <c r="I220" s="13">
        <f t="shared" si="64"/>
        <v>2.1111163889845503</v>
      </c>
      <c r="J220" s="13">
        <f t="shared" si="64"/>
        <v>2.8508360077657593</v>
      </c>
      <c r="K220" s="13">
        <f t="shared" si="64"/>
        <v>1.6129412847567965</v>
      </c>
      <c r="L220" s="13">
        <f t="shared" si="64"/>
        <v>1.8680204177871809</v>
      </c>
      <c r="M220" s="13">
        <f t="shared" si="64"/>
        <v>1.7764015885078321</v>
      </c>
      <c r="N220" s="13">
        <f t="shared" si="64"/>
        <v>2.247032370068097</v>
      </c>
      <c r="O220" s="13"/>
    </row>
    <row r="221" spans="1:15" ht="12.75">
      <c r="A221" t="s">
        <v>54</v>
      </c>
      <c r="E221" s="16">
        <f aca="true" t="shared" si="65" ref="E221:N221">+(E167-E164)/E180</f>
        <v>1.560118878244649</v>
      </c>
      <c r="F221" s="16">
        <f t="shared" si="65"/>
        <v>1.7786408092737673</v>
      </c>
      <c r="G221" s="16">
        <f t="shared" si="65"/>
        <v>1.728734082616532</v>
      </c>
      <c r="H221" s="16">
        <f t="shared" si="65"/>
        <v>1.4718540501554795</v>
      </c>
      <c r="I221" s="16">
        <f t="shared" si="65"/>
        <v>1.3101568715932976</v>
      </c>
      <c r="J221" s="16">
        <f t="shared" si="65"/>
        <v>2.2136574349221445</v>
      </c>
      <c r="K221" s="16">
        <f t="shared" si="65"/>
        <v>1.0339639692408102</v>
      </c>
      <c r="L221" s="16">
        <f t="shared" si="65"/>
        <v>1.2074183352238692</v>
      </c>
      <c r="M221" s="16">
        <f t="shared" si="65"/>
        <v>1.0867397592724242</v>
      </c>
      <c r="N221" s="16">
        <f t="shared" si="65"/>
        <v>1.42562187301811</v>
      </c>
      <c r="O221" s="16"/>
    </row>
    <row r="222" spans="1:15" ht="12.75">
      <c r="A222" t="s">
        <v>55</v>
      </c>
      <c r="E222" s="4">
        <f aca="true" t="shared" si="66" ref="E222:N222">+E167-E180</f>
        <v>88547</v>
      </c>
      <c r="F222" s="4">
        <f t="shared" si="66"/>
        <v>106770</v>
      </c>
      <c r="G222" s="4">
        <f t="shared" si="66"/>
        <v>111673</v>
      </c>
      <c r="H222" s="4">
        <f t="shared" si="66"/>
        <v>116558</v>
      </c>
      <c r="I222" s="4">
        <f t="shared" si="66"/>
        <v>93566</v>
      </c>
      <c r="J222" s="4">
        <f t="shared" si="66"/>
        <v>186853</v>
      </c>
      <c r="K222" s="4">
        <f t="shared" si="66"/>
        <v>146504</v>
      </c>
      <c r="L222" s="4">
        <f t="shared" si="66"/>
        <v>272423</v>
      </c>
      <c r="M222" s="4">
        <f t="shared" si="66"/>
        <v>253374</v>
      </c>
      <c r="N222" s="4">
        <f t="shared" si="66"/>
        <v>389326</v>
      </c>
      <c r="O222" s="4"/>
    </row>
    <row r="223" spans="5:15" ht="12.7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17" t="s">
        <v>142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6" ht="13.5" thickBot="1">
      <c r="A225" t="s">
        <v>56</v>
      </c>
      <c r="E225" s="31">
        <v>1998</v>
      </c>
      <c r="F225" s="31">
        <f aca="true" t="shared" si="67" ref="F225:L225">+E225+1</f>
        <v>1999</v>
      </c>
      <c r="G225" s="31">
        <f t="shared" si="67"/>
        <v>2000</v>
      </c>
      <c r="H225" s="31">
        <f t="shared" si="67"/>
        <v>2001</v>
      </c>
      <c r="I225" s="31">
        <f t="shared" si="67"/>
        <v>2002</v>
      </c>
      <c r="J225" s="31">
        <f t="shared" si="67"/>
        <v>2003</v>
      </c>
      <c r="K225" s="31">
        <f t="shared" si="67"/>
        <v>2004</v>
      </c>
      <c r="L225" s="31">
        <f t="shared" si="67"/>
        <v>2005</v>
      </c>
      <c r="M225" s="29">
        <v>2006</v>
      </c>
      <c r="N225" s="31">
        <v>2007</v>
      </c>
      <c r="O225" s="29" t="s">
        <v>158</v>
      </c>
      <c r="P225" s="29" t="s">
        <v>159</v>
      </c>
    </row>
    <row r="226" spans="1:15" ht="12.75">
      <c r="A226" t="s">
        <v>57</v>
      </c>
      <c r="E226" s="1">
        <f>+(E182+E178)/E174</f>
        <v>0.24408850436968405</v>
      </c>
      <c r="F226" s="1">
        <f aca="true" t="shared" si="68" ref="F226:N226">+(F182+F178)/F174</f>
        <v>0.31492624249180984</v>
      </c>
      <c r="G226" s="1">
        <f t="shared" si="68"/>
        <v>0.3010515473617229</v>
      </c>
      <c r="H226" s="1">
        <f t="shared" si="68"/>
        <v>0.3429693383099237</v>
      </c>
      <c r="I226" s="1">
        <f t="shared" si="68"/>
        <v>0.251003697282393</v>
      </c>
      <c r="J226" s="1">
        <f t="shared" si="68"/>
        <v>0.3096842130252165</v>
      </c>
      <c r="K226" s="1">
        <f t="shared" si="68"/>
        <v>0.30449373863149165</v>
      </c>
      <c r="L226" s="1">
        <f t="shared" si="68"/>
        <v>0.3316047251991184</v>
      </c>
      <c r="M226" s="1">
        <f t="shared" si="68"/>
        <v>0.23268242877654435</v>
      </c>
      <c r="N226" s="1">
        <f t="shared" si="68"/>
        <v>0.1520376446979886</v>
      </c>
      <c r="O226" s="1"/>
    </row>
    <row r="227" spans="1:15" ht="12.75">
      <c r="A227" t="s">
        <v>63</v>
      </c>
      <c r="E227" s="1">
        <f aca="true" t="shared" si="69" ref="E227:N227">+(E182+E178)/(E174-E171-E170)</f>
        <v>0.36647123874387827</v>
      </c>
      <c r="F227" s="1">
        <f t="shared" si="69"/>
        <v>0.4961446633587311</v>
      </c>
      <c r="G227" s="1">
        <f t="shared" si="69"/>
        <v>0.48191849450261987</v>
      </c>
      <c r="H227" s="1">
        <f t="shared" si="69"/>
        <v>0.5989079903234221</v>
      </c>
      <c r="I227" s="1">
        <f t="shared" si="69"/>
        <v>0.44912184966604496</v>
      </c>
      <c r="J227" s="1">
        <f t="shared" si="69"/>
        <v>0.4884435577046515</v>
      </c>
      <c r="K227" s="1">
        <f t="shared" si="69"/>
        <v>0.5754514704828607</v>
      </c>
      <c r="L227" s="1">
        <f t="shared" si="69"/>
        <v>0.6380814540558735</v>
      </c>
      <c r="M227" s="1">
        <f t="shared" si="69"/>
        <v>0.464372822796285</v>
      </c>
      <c r="N227" s="1">
        <f t="shared" si="69"/>
        <v>0.28578107846048073</v>
      </c>
      <c r="O227" s="1"/>
    </row>
    <row r="228" spans="5:15" ht="12.7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17" t="s">
        <v>143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6" ht="13.5" thickBot="1">
      <c r="A230" s="17" t="s">
        <v>89</v>
      </c>
      <c r="B230" s="31">
        <v>1995</v>
      </c>
      <c r="C230" s="31">
        <f>+B230+1</f>
        <v>1996</v>
      </c>
      <c r="D230" s="31">
        <f aca="true" t="shared" si="70" ref="D230:L230">+C230+1</f>
        <v>1997</v>
      </c>
      <c r="E230" s="31">
        <f t="shared" si="70"/>
        <v>1998</v>
      </c>
      <c r="F230" s="31">
        <f t="shared" si="70"/>
        <v>1999</v>
      </c>
      <c r="G230" s="31">
        <f t="shared" si="70"/>
        <v>2000</v>
      </c>
      <c r="H230" s="31">
        <f t="shared" si="70"/>
        <v>2001</v>
      </c>
      <c r="I230" s="31">
        <f t="shared" si="70"/>
        <v>2002</v>
      </c>
      <c r="J230" s="31">
        <f t="shared" si="70"/>
        <v>2003</v>
      </c>
      <c r="K230" s="31">
        <f t="shared" si="70"/>
        <v>2004</v>
      </c>
      <c r="L230" s="31">
        <f t="shared" si="70"/>
        <v>2005</v>
      </c>
      <c r="M230" s="29">
        <v>2006</v>
      </c>
      <c r="N230" s="31">
        <v>2007</v>
      </c>
      <c r="O230" s="29" t="s">
        <v>158</v>
      </c>
      <c r="P230" s="29" t="s">
        <v>159</v>
      </c>
    </row>
    <row r="231" spans="1:15" ht="12.75">
      <c r="A231" t="s">
        <v>64</v>
      </c>
      <c r="B231" s="14">
        <f aca="true" t="shared" si="71" ref="B231:M231">+(B149+B147)/B147</f>
        <v>5.004040404040404</v>
      </c>
      <c r="C231" s="14">
        <f t="shared" si="71"/>
        <v>10.162048969072165</v>
      </c>
      <c r="D231" s="14">
        <f t="shared" si="71"/>
        <v>12.722377444754889</v>
      </c>
      <c r="E231" s="14">
        <f t="shared" si="71"/>
        <v>13.35182511858115</v>
      </c>
      <c r="F231" s="14">
        <f t="shared" si="71"/>
        <v>5.9135490394337715</v>
      </c>
      <c r="G231" s="14">
        <f t="shared" si="71"/>
        <v>4.898031034033121</v>
      </c>
      <c r="H231" s="14">
        <f t="shared" si="71"/>
        <v>6.103443201883461</v>
      </c>
      <c r="I231" s="14">
        <f t="shared" si="71"/>
        <v>5.528986645718774</v>
      </c>
      <c r="J231" s="14">
        <f t="shared" si="71"/>
        <v>7.393850042122999</v>
      </c>
      <c r="K231" s="14">
        <f t="shared" si="71"/>
        <v>6.175806770936449</v>
      </c>
      <c r="L231" s="14">
        <f t="shared" si="71"/>
        <v>4.142772648112246</v>
      </c>
      <c r="M231" s="14">
        <f t="shared" si="71"/>
        <v>6.367051017951256</v>
      </c>
      <c r="N231" s="14"/>
      <c r="O231" s="14"/>
    </row>
    <row r="232" spans="1:15" ht="12.75">
      <c r="A232" t="s">
        <v>65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5:15" ht="12.7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17" t="s">
        <v>153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6" ht="13.5" thickBot="1">
      <c r="A235" s="17" t="s">
        <v>89</v>
      </c>
      <c r="B235" s="31">
        <v>1995</v>
      </c>
      <c r="C235" s="31">
        <f>+B235+1</f>
        <v>1996</v>
      </c>
      <c r="D235" s="31">
        <f aca="true" t="shared" si="72" ref="D235:L235">+C235+1</f>
        <v>1997</v>
      </c>
      <c r="E235" s="31">
        <f t="shared" si="72"/>
        <v>1998</v>
      </c>
      <c r="F235" s="31">
        <f t="shared" si="72"/>
        <v>1999</v>
      </c>
      <c r="G235" s="31">
        <f t="shared" si="72"/>
        <v>2000</v>
      </c>
      <c r="H235" s="31">
        <f t="shared" si="72"/>
        <v>2001</v>
      </c>
      <c r="I235" s="31">
        <f t="shared" si="72"/>
        <v>2002</v>
      </c>
      <c r="J235" s="31">
        <f t="shared" si="72"/>
        <v>2003</v>
      </c>
      <c r="K235" s="31">
        <f t="shared" si="72"/>
        <v>2004</v>
      </c>
      <c r="L235" s="31">
        <f t="shared" si="72"/>
        <v>2005</v>
      </c>
      <c r="M235" s="29">
        <v>2006</v>
      </c>
      <c r="N235" s="31">
        <v>2007</v>
      </c>
      <c r="O235" s="29" t="s">
        <v>158</v>
      </c>
      <c r="P235" s="29" t="s">
        <v>159</v>
      </c>
    </row>
    <row r="236" spans="1:15" ht="12.75">
      <c r="A236" t="s">
        <v>66</v>
      </c>
      <c r="B236" s="1">
        <f aca="true" t="shared" si="73" ref="B236:L236">+B151/B143</f>
        <v>0.060530121488349756</v>
      </c>
      <c r="C236" s="1">
        <f t="shared" si="73"/>
        <v>0.07755045871559633</v>
      </c>
      <c r="D236" s="1">
        <f t="shared" si="73"/>
        <v>0.09484234102906221</v>
      </c>
      <c r="E236" s="1">
        <f t="shared" si="73"/>
        <v>0.09559938907821461</v>
      </c>
      <c r="F236" s="1">
        <f t="shared" si="73"/>
        <v>0.05573415106400719</v>
      </c>
      <c r="G236" s="1">
        <f t="shared" si="73"/>
        <v>0.04925163038607332</v>
      </c>
      <c r="H236" s="1">
        <f t="shared" si="73"/>
        <v>0.05246682707196798</v>
      </c>
      <c r="I236" s="1">
        <f t="shared" si="73"/>
        <v>0.04687701777796909</v>
      </c>
      <c r="J236" s="1">
        <f t="shared" si="73"/>
        <v>0.04696607740086001</v>
      </c>
      <c r="K236" s="1">
        <f t="shared" si="73"/>
        <v>0.050197487894485616</v>
      </c>
      <c r="L236" s="1">
        <f t="shared" si="73"/>
        <v>0.05512402927169854</v>
      </c>
      <c r="M236" s="1">
        <f>+M151/M143</f>
        <v>0.07962491672537828</v>
      </c>
      <c r="N236" s="1">
        <f>+N151/N143</f>
        <v>0.10974912833815985</v>
      </c>
      <c r="O236" s="1"/>
    </row>
    <row r="237" spans="1:15" ht="12.75">
      <c r="A237" t="s">
        <v>67</v>
      </c>
      <c r="B237" s="1">
        <f aca="true" t="shared" si="74" ref="B237:L237">+(B143-B144)/B143</f>
        <v>0.3062790734098705</v>
      </c>
      <c r="C237" s="1">
        <f t="shared" si="74"/>
        <v>0.32022477064220184</v>
      </c>
      <c r="D237" s="1">
        <f t="shared" si="74"/>
        <v>0.34275777147423914</v>
      </c>
      <c r="E237" s="1">
        <f t="shared" si="74"/>
        <v>0.3432538857950295</v>
      </c>
      <c r="F237" s="1">
        <f t="shared" si="74"/>
        <v>0.3177816276175565</v>
      </c>
      <c r="G237" s="1">
        <f t="shared" si="74"/>
        <v>0.29277885269323434</v>
      </c>
      <c r="H237" s="1">
        <f t="shared" si="74"/>
        <v>0.2990232746504038</v>
      </c>
      <c r="I237" s="1">
        <f t="shared" si="74"/>
        <v>0.3073646803361409</v>
      </c>
      <c r="J237" s="1">
        <f t="shared" si="74"/>
        <v>0.29981343708051783</v>
      </c>
      <c r="K237" s="1">
        <f t="shared" si="74"/>
        <v>0.32601931743964824</v>
      </c>
      <c r="L237" s="1">
        <f t="shared" si="74"/>
        <v>0.33043047971597755</v>
      </c>
      <c r="M237" s="1">
        <f>+(M143-M144)/M143</f>
        <v>0.3505436215234343</v>
      </c>
      <c r="N237" s="1">
        <f>+(N143-N144)/N143</f>
        <v>0.3317146856559456</v>
      </c>
      <c r="O237" s="1"/>
    </row>
    <row r="238" spans="1:15" ht="12.75">
      <c r="A238" t="s">
        <v>68</v>
      </c>
      <c r="E238" s="1">
        <f aca="true" t="shared" si="75" ref="E238:N238">+E151/(E174-E171-E170)</f>
        <v>0.1615132791518194</v>
      </c>
      <c r="F238" s="1">
        <f t="shared" si="75"/>
        <v>0.07493927377665206</v>
      </c>
      <c r="G238" s="1">
        <f t="shared" si="75"/>
        <v>0.07405410975735428</v>
      </c>
      <c r="H238" s="1">
        <f t="shared" si="75"/>
        <v>0.0786990219795534</v>
      </c>
      <c r="I238" s="1">
        <f t="shared" si="75"/>
        <v>0.07326453648089523</v>
      </c>
      <c r="J238" s="1">
        <f t="shared" si="75"/>
        <v>0.05520935855192777</v>
      </c>
      <c r="K238" s="1">
        <f t="shared" si="75"/>
        <v>0.06820607888997698</v>
      </c>
      <c r="L238" s="1">
        <f t="shared" si="75"/>
        <v>0.07511612251767082</v>
      </c>
      <c r="M238" s="1">
        <f t="shared" si="75"/>
        <v>0.15155105275460812</v>
      </c>
      <c r="N238" s="1">
        <f t="shared" si="75"/>
        <v>0.2023126917913547</v>
      </c>
      <c r="O238" s="1"/>
    </row>
    <row r="239" spans="1:15" ht="12.75">
      <c r="A239" t="s">
        <v>69</v>
      </c>
      <c r="E239" s="1">
        <f aca="true" t="shared" si="76" ref="E239:N239">+E151/E174</f>
        <v>0.10757606757665215</v>
      </c>
      <c r="F239" s="1">
        <f t="shared" si="76"/>
        <v>0.04756746499252805</v>
      </c>
      <c r="G239" s="1">
        <f t="shared" si="76"/>
        <v>0.046261151180669556</v>
      </c>
      <c r="H239" s="1">
        <f t="shared" si="76"/>
        <v>0.04506760959958092</v>
      </c>
      <c r="I239" s="1">
        <f t="shared" si="76"/>
        <v>0.04094583585737263</v>
      </c>
      <c r="J239" s="1">
        <f t="shared" si="76"/>
        <v>0.0350039763757497</v>
      </c>
      <c r="K239" s="1">
        <f t="shared" si="76"/>
        <v>0.03609048725025739</v>
      </c>
      <c r="L239" s="1">
        <f t="shared" si="76"/>
        <v>0.03903711823493056</v>
      </c>
      <c r="M239" s="1">
        <f t="shared" si="76"/>
        <v>0.07593740483399049</v>
      </c>
      <c r="N239" s="1">
        <f t="shared" si="76"/>
        <v>0.1076318464405305</v>
      </c>
      <c r="O239" s="1"/>
    </row>
    <row r="240" spans="1:15" ht="12.75">
      <c r="A240" t="s">
        <v>70</v>
      </c>
      <c r="E240" s="1">
        <f aca="true" t="shared" si="77" ref="E240:N240">+E151/E188</f>
        <v>0.25794401693228486</v>
      </c>
      <c r="F240" s="1">
        <f t="shared" si="77"/>
        <v>0.11826301201108716</v>
      </c>
      <c r="G240" s="1">
        <f t="shared" si="77"/>
        <v>0.10916867272769766</v>
      </c>
      <c r="H240" s="1">
        <f t="shared" si="77"/>
        <v>0.11082484602069159</v>
      </c>
      <c r="I240" s="1">
        <f t="shared" si="77"/>
        <v>0.0879317073608376</v>
      </c>
      <c r="J240" s="1">
        <f t="shared" si="77"/>
        <v>0.07763298922547526</v>
      </c>
      <c r="K240" s="1">
        <f t="shared" si="77"/>
        <v>0.09155412404186684</v>
      </c>
      <c r="L240" s="1">
        <f t="shared" si="77"/>
        <v>0.10170457048499974</v>
      </c>
      <c r="M240" s="1">
        <f t="shared" si="77"/>
        <v>0.15589832615861027</v>
      </c>
      <c r="N240" s="1">
        <f t="shared" si="77"/>
        <v>0.17685755010075768</v>
      </c>
      <c r="O240" s="1"/>
    </row>
    <row r="241" spans="5:15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2" ht="12.75">
      <c r="A242" s="17" t="s">
        <v>152</v>
      </c>
      <c r="E242" s="1"/>
      <c r="F242" s="1"/>
      <c r="G242" s="1"/>
      <c r="H242" s="1"/>
      <c r="I242" s="1"/>
      <c r="J242" s="1"/>
      <c r="K242" s="1"/>
      <c r="L242" s="1"/>
    </row>
    <row r="243" spans="1:16" ht="13.5" thickBot="1">
      <c r="A243" s="17" t="s">
        <v>89</v>
      </c>
      <c r="B243" s="31">
        <v>1995</v>
      </c>
      <c r="C243" s="31">
        <f>+B243+1</f>
        <v>1996</v>
      </c>
      <c r="D243" s="31">
        <f aca="true" t="shared" si="78" ref="D243:L243">+C243+1</f>
        <v>1997</v>
      </c>
      <c r="E243" s="31">
        <f t="shared" si="78"/>
        <v>1998</v>
      </c>
      <c r="F243" s="31">
        <f t="shared" si="78"/>
        <v>1999</v>
      </c>
      <c r="G243" s="31">
        <f t="shared" si="78"/>
        <v>2000</v>
      </c>
      <c r="H243" s="31">
        <f t="shared" si="78"/>
        <v>2001</v>
      </c>
      <c r="I243" s="31">
        <f t="shared" si="78"/>
        <v>2002</v>
      </c>
      <c r="J243" s="31">
        <f t="shared" si="78"/>
        <v>2003</v>
      </c>
      <c r="K243" s="31">
        <f t="shared" si="78"/>
        <v>2004</v>
      </c>
      <c r="L243" s="31">
        <f t="shared" si="78"/>
        <v>2005</v>
      </c>
      <c r="M243" s="29">
        <v>2006</v>
      </c>
      <c r="N243" s="31">
        <v>2007</v>
      </c>
      <c r="O243" s="29" t="s">
        <v>158</v>
      </c>
      <c r="P243" s="29" t="s">
        <v>159</v>
      </c>
    </row>
    <row r="244" spans="1:14" ht="12.75">
      <c r="A244" t="s">
        <v>71</v>
      </c>
      <c r="B244" s="9">
        <f>+(B251*B252)/B143</f>
        <v>0.17860122266315542</v>
      </c>
      <c r="C244" s="9">
        <f>+(C251*C252)/C143</f>
        <v>0.30351645049035114</v>
      </c>
      <c r="D244" s="9">
        <f>+(D251*D252)/D143</f>
        <v>0.5175092956151003</v>
      </c>
      <c r="E244" s="9">
        <f>+(E251*E252)/E143</f>
        <v>0.4567062517535667</v>
      </c>
      <c r="F244" s="9">
        <f aca="true" t="shared" si="79" ref="F244:N244">+(F251*F252)/F143</f>
        <v>0.36645204324584724</v>
      </c>
      <c r="G244" s="9">
        <f t="shared" si="79"/>
        <v>0.35364285424754277</v>
      </c>
      <c r="H244" s="9">
        <f t="shared" si="79"/>
        <v>0.3824166621090624</v>
      </c>
      <c r="I244" s="9">
        <f t="shared" si="79"/>
        <v>0.38257695154278</v>
      </c>
      <c r="J244" s="9">
        <f t="shared" si="79"/>
        <v>0.3804616347589047</v>
      </c>
      <c r="K244" s="9">
        <f t="shared" si="79"/>
        <v>0.3672612124525121</v>
      </c>
      <c r="L244" s="9">
        <f t="shared" si="79"/>
        <v>0.4122489903390598</v>
      </c>
      <c r="M244" s="9">
        <f t="shared" si="79"/>
        <v>1.076503795413185</v>
      </c>
      <c r="N244" s="9">
        <f t="shared" si="79"/>
        <v>0.9977193485287258</v>
      </c>
    </row>
    <row r="245" spans="1:14" ht="12.75">
      <c r="A245" t="s">
        <v>72</v>
      </c>
      <c r="E245" s="13">
        <f>+(E251*E252)/E188</f>
        <v>1.2322740372223566</v>
      </c>
      <c r="F245" s="13">
        <f aca="true" t="shared" si="80" ref="F245:N245">+(F251*F252)/F188</f>
        <v>0.777579303972898</v>
      </c>
      <c r="G245" s="13">
        <f t="shared" si="80"/>
        <v>0.7838668631923209</v>
      </c>
      <c r="H245" s="13">
        <f t="shared" si="80"/>
        <v>0.8077726452916606</v>
      </c>
      <c r="I245" s="13">
        <f t="shared" si="80"/>
        <v>0.717636192331997</v>
      </c>
      <c r="J245" s="13">
        <f t="shared" si="80"/>
        <v>0.6288873933381522</v>
      </c>
      <c r="K245" s="13">
        <f t="shared" si="80"/>
        <v>0.6698398667144747</v>
      </c>
      <c r="L245" s="13">
        <f t="shared" si="80"/>
        <v>0.7606048949842482</v>
      </c>
      <c r="M245" s="13">
        <f t="shared" si="80"/>
        <v>2.1076962678294002</v>
      </c>
      <c r="N245" s="13">
        <f t="shared" si="80"/>
        <v>1.607795910006888</v>
      </c>
    </row>
    <row r="246" spans="1:14" ht="12.75">
      <c r="A246" t="s">
        <v>73</v>
      </c>
      <c r="B246" s="13">
        <f>+B251/B153</f>
        <v>2.950617283950617</v>
      </c>
      <c r="C246" s="13">
        <f>+C251/C153</f>
        <v>3.9137931034482762</v>
      </c>
      <c r="D246" s="13">
        <f>+D251/D153</f>
        <v>5.456521739130434</v>
      </c>
      <c r="E246" s="13">
        <f>+E251/E153</f>
        <v>4.777292576419214</v>
      </c>
      <c r="F246" s="13">
        <f aca="true" t="shared" si="81" ref="F246:N246">+F251/F153</f>
        <v>6.575</v>
      </c>
      <c r="G246" s="13">
        <f t="shared" si="81"/>
        <v>7.180327868852459</v>
      </c>
      <c r="H246" s="13">
        <f t="shared" si="81"/>
        <v>7.288732394366197</v>
      </c>
      <c r="I246" s="13">
        <f t="shared" si="81"/>
        <v>8.161290322580644</v>
      </c>
      <c r="J246" s="13">
        <f t="shared" si="81"/>
        <v>8.100775193798448</v>
      </c>
      <c r="K246" s="13">
        <f t="shared" si="81"/>
        <v>7.316326530612245</v>
      </c>
      <c r="L246" s="13">
        <f t="shared" si="81"/>
        <v>7.4785714285714295</v>
      </c>
      <c r="M246" s="13">
        <f t="shared" si="81"/>
        <v>13.51968503937008</v>
      </c>
      <c r="N246" s="13">
        <f t="shared" si="81"/>
        <v>9.09090909090909</v>
      </c>
    </row>
    <row r="247" spans="1:14" ht="12.75">
      <c r="A247" t="s">
        <v>76</v>
      </c>
      <c r="B247" s="13">
        <f>+B251/C153</f>
        <v>2.0603448275862073</v>
      </c>
      <c r="C247" s="13">
        <f>+C251/D153</f>
        <v>2.467391304347826</v>
      </c>
      <c r="D247" s="13">
        <f>+D251/E153</f>
        <v>4.384279475982532</v>
      </c>
      <c r="E247" s="13">
        <f>+E251/F153</f>
        <v>9.116666666666667</v>
      </c>
      <c r="F247" s="13">
        <f aca="true" t="shared" si="82" ref="F247:M247">+F251/G153</f>
        <v>6.467213114754098</v>
      </c>
      <c r="G247" s="13">
        <f t="shared" si="82"/>
        <v>6.169014084507042</v>
      </c>
      <c r="H247" s="13">
        <f t="shared" si="82"/>
        <v>8.346774193548386</v>
      </c>
      <c r="I247" s="13">
        <f t="shared" si="82"/>
        <v>7.844961240310076</v>
      </c>
      <c r="J247" s="13">
        <f t="shared" si="82"/>
        <v>5.331632653061225</v>
      </c>
      <c r="K247" s="13">
        <f t="shared" si="82"/>
        <v>5.121428571428572</v>
      </c>
      <c r="L247" s="13">
        <f t="shared" si="82"/>
        <v>8.244094488188976</v>
      </c>
      <c r="M247" s="13">
        <f t="shared" si="82"/>
        <v>8.919480519480521</v>
      </c>
      <c r="N247" s="13"/>
    </row>
    <row r="248" spans="5:12" ht="12.75"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t="s">
        <v>140</v>
      </c>
      <c r="E249" s="1"/>
      <c r="F249" s="1"/>
      <c r="G249" s="1"/>
      <c r="H249" s="1"/>
      <c r="I249" s="1"/>
      <c r="J249" s="1"/>
      <c r="K249" s="1"/>
      <c r="L249" s="1"/>
    </row>
    <row r="250" spans="1:16" ht="13.5" thickBot="1">
      <c r="A250" s="17" t="s">
        <v>89</v>
      </c>
      <c r="B250" s="31">
        <v>1995</v>
      </c>
      <c r="C250" s="31">
        <f>+B250+1</f>
        <v>1996</v>
      </c>
      <c r="D250" s="31">
        <f aca="true" t="shared" si="83" ref="D250:L250">+C250+1</f>
        <v>1997</v>
      </c>
      <c r="E250" s="31">
        <f t="shared" si="83"/>
        <v>1998</v>
      </c>
      <c r="F250" s="31">
        <f t="shared" si="83"/>
        <v>1999</v>
      </c>
      <c r="G250" s="31">
        <f t="shared" si="83"/>
        <v>2000</v>
      </c>
      <c r="H250" s="31">
        <f t="shared" si="83"/>
        <v>2001</v>
      </c>
      <c r="I250" s="31">
        <f t="shared" si="83"/>
        <v>2002</v>
      </c>
      <c r="J250" s="31">
        <f t="shared" si="83"/>
        <v>2003</v>
      </c>
      <c r="K250" s="31">
        <f t="shared" si="83"/>
        <v>2004</v>
      </c>
      <c r="L250" s="31">
        <f t="shared" si="83"/>
        <v>2005</v>
      </c>
      <c r="M250" s="29">
        <v>2006</v>
      </c>
      <c r="N250" s="31">
        <v>2007</v>
      </c>
      <c r="O250" s="29" t="s">
        <v>158</v>
      </c>
      <c r="P250" s="29" t="s">
        <v>159</v>
      </c>
    </row>
    <row r="251" spans="1:16" ht="12.75">
      <c r="A251" t="s">
        <v>77</v>
      </c>
      <c r="B251" s="19">
        <v>2.39</v>
      </c>
      <c r="C251" s="19">
        <v>4.54</v>
      </c>
      <c r="D251" s="19">
        <v>10.04</v>
      </c>
      <c r="E251" s="19">
        <v>10.94</v>
      </c>
      <c r="F251" s="19">
        <v>7.89</v>
      </c>
      <c r="G251" s="19">
        <v>8.76</v>
      </c>
      <c r="H251" s="19">
        <v>10.35</v>
      </c>
      <c r="I251" s="19">
        <v>10.12</v>
      </c>
      <c r="J251" s="19">
        <v>10.45</v>
      </c>
      <c r="K251" s="19">
        <v>14.34</v>
      </c>
      <c r="L251" s="19">
        <v>20.94</v>
      </c>
      <c r="M251" s="19">
        <v>34.34</v>
      </c>
      <c r="N251" s="19">
        <v>35</v>
      </c>
      <c r="O251" s="19">
        <v>40</v>
      </c>
      <c r="P251" s="19">
        <v>47</v>
      </c>
    </row>
    <row r="252" spans="1:16" ht="12.75">
      <c r="A252" t="s">
        <v>74</v>
      </c>
      <c r="B252" s="6">
        <f aca="true" t="shared" si="84" ref="B252:N252">+B151/B153</f>
        <v>14313.58024691358</v>
      </c>
      <c r="C252" s="6">
        <f t="shared" si="84"/>
        <v>14574.137931034484</v>
      </c>
      <c r="D252" s="6">
        <f t="shared" si="84"/>
        <v>15027.717391304348</v>
      </c>
      <c r="E252" s="6">
        <f t="shared" si="84"/>
        <v>16072.052401746725</v>
      </c>
      <c r="F252" s="6">
        <f t="shared" si="84"/>
        <v>15040</v>
      </c>
      <c r="G252" s="6">
        <f t="shared" si="84"/>
        <v>15314.754098360656</v>
      </c>
      <c r="H252" s="6">
        <f t="shared" si="84"/>
        <v>15509.859154929578</v>
      </c>
      <c r="I252" s="6">
        <f t="shared" si="84"/>
        <v>15808.064516129032</v>
      </c>
      <c r="J252" s="6">
        <f t="shared" si="84"/>
        <v>16002.32558139535</v>
      </c>
      <c r="K252" s="6">
        <f t="shared" si="84"/>
        <v>18940.30612244898</v>
      </c>
      <c r="L252" s="6">
        <f t="shared" si="84"/>
        <v>23911.07142857143</v>
      </c>
      <c r="M252" s="6">
        <f t="shared" si="84"/>
        <v>52325.984251968504</v>
      </c>
      <c r="N252" s="6">
        <f t="shared" si="84"/>
        <v>53273.76623376623</v>
      </c>
      <c r="O252" s="6"/>
      <c r="P252" s="6"/>
    </row>
    <row r="254" ht="20.25">
      <c r="A254" s="86" t="s">
        <v>34</v>
      </c>
    </row>
    <row r="255" spans="1:16" ht="13.5" thickBot="1">
      <c r="A255" s="17" t="s">
        <v>89</v>
      </c>
      <c r="B255" s="31">
        <v>1995</v>
      </c>
      <c r="C255" s="31">
        <f>+B255+1</f>
        <v>1996</v>
      </c>
      <c r="D255" s="31">
        <f aca="true" t="shared" si="85" ref="D255:L255">+C255+1</f>
        <v>1997</v>
      </c>
      <c r="E255" s="31">
        <f t="shared" si="85"/>
        <v>1998</v>
      </c>
      <c r="F255" s="31">
        <f t="shared" si="85"/>
        <v>1999</v>
      </c>
      <c r="G255" s="31">
        <f t="shared" si="85"/>
        <v>2000</v>
      </c>
      <c r="H255" s="31">
        <f t="shared" si="85"/>
        <v>2001</v>
      </c>
      <c r="I255" s="31">
        <f t="shared" si="85"/>
        <v>2002</v>
      </c>
      <c r="J255" s="31">
        <f t="shared" si="85"/>
        <v>2003</v>
      </c>
      <c r="K255" s="31">
        <f t="shared" si="85"/>
        <v>2004</v>
      </c>
      <c r="L255" s="31">
        <f t="shared" si="85"/>
        <v>2005</v>
      </c>
      <c r="M255" s="29">
        <v>2006</v>
      </c>
      <c r="N255" s="31">
        <v>2007</v>
      </c>
      <c r="O255" s="29" t="s">
        <v>158</v>
      </c>
      <c r="P255" s="29" t="s">
        <v>159</v>
      </c>
    </row>
    <row r="256" spans="1:15" ht="12.75">
      <c r="A256" t="s">
        <v>0</v>
      </c>
      <c r="B256" s="1">
        <f aca="true" t="shared" si="86" ref="B256:L256">+B143/B$143</f>
        <v>1</v>
      </c>
      <c r="C256" s="1">
        <f t="shared" si="86"/>
        <v>1</v>
      </c>
      <c r="D256" s="1">
        <f t="shared" si="86"/>
        <v>1</v>
      </c>
      <c r="E256" s="1">
        <f t="shared" si="86"/>
        <v>1</v>
      </c>
      <c r="F256" s="1">
        <f t="shared" si="86"/>
        <v>1</v>
      </c>
      <c r="G256" s="1">
        <f t="shared" si="86"/>
        <v>1</v>
      </c>
      <c r="H256" s="1">
        <f t="shared" si="86"/>
        <v>1</v>
      </c>
      <c r="I256" s="1">
        <f t="shared" si="86"/>
        <v>1</v>
      </c>
      <c r="J256" s="1">
        <f t="shared" si="86"/>
        <v>1</v>
      </c>
      <c r="K256" s="1">
        <f t="shared" si="86"/>
        <v>1</v>
      </c>
      <c r="L256" s="1">
        <f t="shared" si="86"/>
        <v>1</v>
      </c>
      <c r="M256" s="1">
        <f aca="true" t="shared" si="87" ref="M256:N258">+M143/M$143</f>
        <v>1</v>
      </c>
      <c r="N256" s="1">
        <f t="shared" si="87"/>
        <v>1</v>
      </c>
      <c r="O256" s="1"/>
    </row>
    <row r="257" spans="1:16" ht="12.75">
      <c r="A257" t="s">
        <v>2</v>
      </c>
      <c r="B257" s="1">
        <f aca="true" t="shared" si="88" ref="B257:L257">+B144/B$143</f>
        <v>0.6937209265901295</v>
      </c>
      <c r="C257" s="1">
        <f t="shared" si="88"/>
        <v>0.6797752293577982</v>
      </c>
      <c r="D257" s="1">
        <f t="shared" si="88"/>
        <v>0.6572422285257609</v>
      </c>
      <c r="E257" s="1">
        <f t="shared" si="88"/>
        <v>0.6567461142049705</v>
      </c>
      <c r="F257" s="1">
        <f t="shared" si="88"/>
        <v>0.6822183723824435</v>
      </c>
      <c r="G257" s="1">
        <f t="shared" si="88"/>
        <v>0.7072211473067657</v>
      </c>
      <c r="H257" s="1">
        <f t="shared" si="88"/>
        <v>0.7009767253495962</v>
      </c>
      <c r="I257" s="1">
        <f t="shared" si="88"/>
        <v>0.6926353196638592</v>
      </c>
      <c r="J257" s="1">
        <f t="shared" si="88"/>
        <v>0.7001865629194822</v>
      </c>
      <c r="K257" s="1">
        <f t="shared" si="88"/>
        <v>0.6739806825603518</v>
      </c>
      <c r="L257" s="1">
        <f t="shared" si="88"/>
        <v>0.6695695202840224</v>
      </c>
      <c r="M257" s="1">
        <f t="shared" si="87"/>
        <v>0.6494563784765657</v>
      </c>
      <c r="N257" s="1">
        <f t="shared" si="87"/>
        <v>0.6682853143440544</v>
      </c>
      <c r="O257" s="1"/>
      <c r="P257" s="3"/>
    </row>
    <row r="258" spans="1:16" ht="12.75">
      <c r="A258" t="s">
        <v>3</v>
      </c>
      <c r="B258" s="1">
        <f aca="true" t="shared" si="89" ref="B258:L258">+B145/B$143</f>
        <v>0.13381991323006562</v>
      </c>
      <c r="C258" s="1">
        <f t="shared" si="89"/>
        <v>0.13838990825688074</v>
      </c>
      <c r="D258" s="1">
        <f t="shared" si="89"/>
        <v>0.13698648931390137</v>
      </c>
      <c r="E258" s="1">
        <f t="shared" si="89"/>
        <v>0.1397249812983127</v>
      </c>
      <c r="F258" s="1">
        <f t="shared" si="89"/>
        <v>0.16391670758408142</v>
      </c>
      <c r="G258" s="1">
        <f t="shared" si="89"/>
        <v>0.1575925642796514</v>
      </c>
      <c r="H258" s="1">
        <f t="shared" si="89"/>
        <v>0.1659908997784501</v>
      </c>
      <c r="I258" s="1">
        <f t="shared" si="89"/>
        <v>0.1898803801433908</v>
      </c>
      <c r="J258" s="1">
        <f t="shared" si="89"/>
        <v>0.1941300935089755</v>
      </c>
      <c r="K258" s="1">
        <f t="shared" si="89"/>
        <v>0.21290695960591666</v>
      </c>
      <c r="L258" s="1">
        <f t="shared" si="89"/>
        <v>0.19955341558039508</v>
      </c>
      <c r="M258" s="1">
        <f t="shared" si="87"/>
        <v>0.17843355044644782</v>
      </c>
      <c r="N258" s="1">
        <f t="shared" si="87"/>
        <v>0.17572574275862513</v>
      </c>
      <c r="O258" s="1"/>
      <c r="P258" s="3"/>
    </row>
    <row r="259" spans="1:16" ht="12.75">
      <c r="A259" t="s">
        <v>35</v>
      </c>
      <c r="B259" s="12">
        <f>+B256-B257-B258</f>
        <v>0.17245916017980487</v>
      </c>
      <c r="C259" s="1">
        <f aca="true" t="shared" si="90" ref="C259:L259">+C256-C257-C258</f>
        <v>0.18183486238532104</v>
      </c>
      <c r="D259" s="1">
        <f t="shared" si="90"/>
        <v>0.20577128216033777</v>
      </c>
      <c r="E259" s="1">
        <f t="shared" si="90"/>
        <v>0.20352890449671676</v>
      </c>
      <c r="F259" s="1">
        <f t="shared" si="90"/>
        <v>0.15386492003347504</v>
      </c>
      <c r="G259" s="1">
        <f t="shared" si="90"/>
        <v>0.13518628841358293</v>
      </c>
      <c r="H259" s="1">
        <f t="shared" si="90"/>
        <v>0.13303237487195368</v>
      </c>
      <c r="I259" s="1">
        <f t="shared" si="90"/>
        <v>0.11748430019275005</v>
      </c>
      <c r="J259" s="1">
        <f t="shared" si="90"/>
        <v>0.10568334357154227</v>
      </c>
      <c r="K259" s="1">
        <f t="shared" si="90"/>
        <v>0.11311235783373152</v>
      </c>
      <c r="L259" s="1">
        <f t="shared" si="90"/>
        <v>0.13087706413558253</v>
      </c>
      <c r="M259" s="1">
        <f>+M256-M257-M258</f>
        <v>0.1721100710769865</v>
      </c>
      <c r="N259" s="1">
        <f>+N256-N257-N258</f>
        <v>0.15598894289732051</v>
      </c>
      <c r="O259" s="1"/>
      <c r="P259" s="3"/>
    </row>
    <row r="260" spans="1:16" ht="12.75">
      <c r="A260" t="s">
        <v>4</v>
      </c>
      <c r="B260" s="1">
        <f aca="true" t="shared" si="91" ref="B260:L260">+B146/B$143</f>
        <v>0.04313958891307866</v>
      </c>
      <c r="C260" s="1">
        <f t="shared" si="91"/>
        <v>0.03714220183486239</v>
      </c>
      <c r="D260" s="1">
        <f t="shared" si="91"/>
        <v>0.03314045419777943</v>
      </c>
      <c r="E260" s="1">
        <f t="shared" si="91"/>
        <v>0.03370979137228826</v>
      </c>
      <c r="F260" s="1">
        <f t="shared" si="91"/>
        <v>0.04391905454522996</v>
      </c>
      <c r="G260" s="1">
        <f t="shared" si="91"/>
        <v>0.041862831415180386</v>
      </c>
      <c r="H260" s="1">
        <f t="shared" si="91"/>
        <v>0.04184910784477214</v>
      </c>
      <c r="I260" s="1">
        <f t="shared" si="91"/>
        <v>0.033812578020748135</v>
      </c>
      <c r="J260" s="1">
        <f t="shared" si="91"/>
        <v>0.033139944941187174</v>
      </c>
      <c r="K260" s="1">
        <f t="shared" si="91"/>
        <v>0.029614394913588058</v>
      </c>
      <c r="L260" s="1">
        <f t="shared" si="91"/>
        <v>0.031552374867440836</v>
      </c>
      <c r="M260" s="1">
        <f aca="true" t="shared" si="92" ref="M260:N265">+M146/M$143</f>
        <v>0.03127830738040806</v>
      </c>
      <c r="N260" s="1">
        <f t="shared" si="92"/>
        <v>0</v>
      </c>
      <c r="O260" s="1"/>
      <c r="P260" s="3"/>
    </row>
    <row r="261" spans="1:16" ht="12.75">
      <c r="A261" t="s">
        <v>5</v>
      </c>
      <c r="B261" s="1">
        <f aca="true" t="shared" si="93" ref="B261:L261">+B147/B$143</f>
        <v>0.025843030995974754</v>
      </c>
      <c r="C261" s="1">
        <f t="shared" si="93"/>
        <v>0.014238532110091743</v>
      </c>
      <c r="D261" s="1">
        <f t="shared" si="93"/>
        <v>0.013503826141239662</v>
      </c>
      <c r="E261" s="1">
        <f t="shared" si="93"/>
        <v>0.012595066910481257</v>
      </c>
      <c r="F261" s="1">
        <f t="shared" si="93"/>
        <v>0.018324825599169918</v>
      </c>
      <c r="G261" s="1">
        <f t="shared" si="93"/>
        <v>0.020215732896103417</v>
      </c>
      <c r="H261" s="1">
        <f t="shared" si="93"/>
        <v>0.016189818233794697</v>
      </c>
      <c r="I261" s="1">
        <f t="shared" si="93"/>
        <v>0.015221519138698769</v>
      </c>
      <c r="J261" s="1">
        <f t="shared" si="93"/>
        <v>0.010802448069528814</v>
      </c>
      <c r="K261" s="1">
        <f t="shared" si="93"/>
        <v>0.013659861075616026</v>
      </c>
      <c r="L261" s="1">
        <f t="shared" si="93"/>
        <v>0.0250569757408493</v>
      </c>
      <c r="M261" s="1">
        <f t="shared" si="92"/>
        <v>0.022393684069265313</v>
      </c>
      <c r="N261" s="1">
        <f t="shared" si="92"/>
        <v>0.014025247693226401</v>
      </c>
      <c r="O261" s="1"/>
      <c r="P261" s="3"/>
    </row>
    <row r="262" spans="1:15" ht="12.75">
      <c r="A262" t="s">
        <v>6</v>
      </c>
      <c r="B262" s="1">
        <f aca="true" t="shared" si="94" ref="B262:L262">+B148/B$143</f>
        <v>0</v>
      </c>
      <c r="C262" s="1">
        <f t="shared" si="94"/>
        <v>0</v>
      </c>
      <c r="D262" s="1">
        <f t="shared" si="94"/>
        <v>0.0008300548453594103</v>
      </c>
      <c r="E262" s="1">
        <f t="shared" si="94"/>
        <v>0.0016519823788546256</v>
      </c>
      <c r="F262" s="1">
        <f t="shared" si="94"/>
        <v>0.0015811106684824735</v>
      </c>
      <c r="G262" s="1">
        <f t="shared" si="94"/>
        <v>-0.005693830102436221</v>
      </c>
      <c r="H262" s="1">
        <f t="shared" si="94"/>
        <v>-0.007630369011601592</v>
      </c>
      <c r="I262" s="1">
        <f t="shared" si="94"/>
        <v>-0.0004878538734162685</v>
      </c>
      <c r="J262" s="1">
        <f t="shared" si="94"/>
        <v>-0.007328282483561987</v>
      </c>
      <c r="K262" s="1">
        <f t="shared" si="94"/>
        <v>-0.0008626996006971911</v>
      </c>
      <c r="L262" s="1">
        <f t="shared" si="94"/>
        <v>-0.004480664475460911</v>
      </c>
      <c r="M262" s="1">
        <f t="shared" si="92"/>
        <v>-0.001749965252316113</v>
      </c>
      <c r="N262" s="1">
        <f t="shared" si="92"/>
        <v>-0.001633095111202433</v>
      </c>
      <c r="O262" s="1"/>
    </row>
    <row r="263" spans="1:15" ht="12.75">
      <c r="A263" t="s">
        <v>7</v>
      </c>
      <c r="B263" s="1">
        <f aca="true" t="shared" si="95" ref="B263:L263">+B149/B$143</f>
        <v>0.10347654027075143</v>
      </c>
      <c r="C263" s="1">
        <f t="shared" si="95"/>
        <v>0.13045412844036697</v>
      </c>
      <c r="D263" s="1">
        <f t="shared" si="95"/>
        <v>0.15829694697595928</v>
      </c>
      <c r="E263" s="1">
        <f t="shared" si="95"/>
        <v>0.15557206383509267</v>
      </c>
      <c r="F263" s="1">
        <f t="shared" si="95"/>
        <v>0.09003992922059273</v>
      </c>
      <c r="G263" s="1">
        <f t="shared" si="95"/>
        <v>0.07880155420473536</v>
      </c>
      <c r="H263" s="1">
        <f t="shared" si="95"/>
        <v>0.08262381780498844</v>
      </c>
      <c r="I263" s="1">
        <f t="shared" si="95"/>
        <v>0.06893805690671947</v>
      </c>
      <c r="J263" s="1">
        <f t="shared" si="95"/>
        <v>0.06906923304438832</v>
      </c>
      <c r="K263" s="1">
        <f t="shared" si="95"/>
        <v>0.07070080144522466</v>
      </c>
      <c r="L263" s="1">
        <f t="shared" si="95"/>
        <v>0.07874837800275328</v>
      </c>
      <c r="M263" s="1">
        <f t="shared" si="92"/>
        <v>0.12018804487962922</v>
      </c>
      <c r="N263" s="1">
        <f t="shared" si="92"/>
        <v>0.1435967903152965</v>
      </c>
      <c r="O263" s="1"/>
    </row>
    <row r="264" spans="1:15" ht="12.75">
      <c r="A264" t="s">
        <v>8</v>
      </c>
      <c r="B264" s="1">
        <f aca="true" t="shared" si="96" ref="B264:L264">+B150/B$143</f>
        <v>0.04294641878240168</v>
      </c>
      <c r="C264" s="1">
        <f t="shared" si="96"/>
        <v>0.05290366972477064</v>
      </c>
      <c r="D264" s="1">
        <f t="shared" si="96"/>
        <v>0.06345460594689707</v>
      </c>
      <c r="E264" s="1">
        <f t="shared" si="96"/>
        <v>0.059972674756878064</v>
      </c>
      <c r="F264" s="1">
        <f t="shared" si="96"/>
        <v>0.034305778156585545</v>
      </c>
      <c r="G264" s="1">
        <f t="shared" si="96"/>
        <v>0.029549923818662057</v>
      </c>
      <c r="H264" s="1">
        <f t="shared" si="96"/>
        <v>0.030156990733020462</v>
      </c>
      <c r="I264" s="1">
        <f t="shared" si="96"/>
        <v>0.022061039128750376</v>
      </c>
      <c r="J264" s="1">
        <f t="shared" si="96"/>
        <v>0.022103155643528313</v>
      </c>
      <c r="K264" s="1">
        <f t="shared" si="96"/>
        <v>0.02050331355073904</v>
      </c>
      <c r="L264" s="1">
        <f t="shared" si="96"/>
        <v>0.023624348731054744</v>
      </c>
      <c r="M264" s="1">
        <f t="shared" si="92"/>
        <v>0.04056312815425096</v>
      </c>
      <c r="N264" s="1">
        <f t="shared" si="92"/>
        <v>0.03384766197713667</v>
      </c>
      <c r="O264" s="1"/>
    </row>
    <row r="265" spans="1:15" ht="12.75">
      <c r="A265" t="s">
        <v>9</v>
      </c>
      <c r="B265" s="1">
        <f aca="true" t="shared" si="97" ref="B265:L265">+B151/B$143</f>
        <v>0.060530121488349756</v>
      </c>
      <c r="C265" s="1">
        <f t="shared" si="97"/>
        <v>0.07755045871559633</v>
      </c>
      <c r="D265" s="1">
        <f t="shared" si="97"/>
        <v>0.09484234102906221</v>
      </c>
      <c r="E265" s="1">
        <f t="shared" si="97"/>
        <v>0.09559938907821461</v>
      </c>
      <c r="F265" s="1">
        <f t="shared" si="97"/>
        <v>0.05573415106400719</v>
      </c>
      <c r="G265" s="1">
        <f t="shared" si="97"/>
        <v>0.04925163038607332</v>
      </c>
      <c r="H265" s="1">
        <f t="shared" si="97"/>
        <v>0.05246682707196798</v>
      </c>
      <c r="I265" s="1">
        <f t="shared" si="97"/>
        <v>0.04687701777796909</v>
      </c>
      <c r="J265" s="1">
        <f t="shared" si="97"/>
        <v>0.04696607740086001</v>
      </c>
      <c r="K265" s="1">
        <f t="shared" si="97"/>
        <v>0.050197487894485616</v>
      </c>
      <c r="L265" s="1">
        <f t="shared" si="97"/>
        <v>0.05512402927169854</v>
      </c>
      <c r="M265" s="1">
        <f t="shared" si="92"/>
        <v>0.07962491672537828</v>
      </c>
      <c r="N265" s="1">
        <f t="shared" si="92"/>
        <v>0.10974912833815985</v>
      </c>
      <c r="O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t="s">
        <v>94</v>
      </c>
      <c r="B267" s="1"/>
      <c r="C267" s="1"/>
      <c r="D267" s="1"/>
      <c r="E267" s="1"/>
      <c r="F267" s="1">
        <f aca="true" t="shared" si="98" ref="F267:L267">+F146/E169</f>
        <v>0.2399892003172407</v>
      </c>
      <c r="G267" s="1">
        <f t="shared" si="98"/>
        <v>0.25251224321058324</v>
      </c>
      <c r="H267" s="1">
        <f t="shared" si="98"/>
        <v>0.261787672865999</v>
      </c>
      <c r="I267" s="1">
        <f t="shared" si="98"/>
        <v>0.19081744200170048</v>
      </c>
      <c r="J267" s="1">
        <f t="shared" si="98"/>
        <v>0.1912502297733778</v>
      </c>
      <c r="K267" s="1">
        <f t="shared" si="98"/>
        <v>0.2903563663361086</v>
      </c>
      <c r="L267" s="1">
        <f t="shared" si="98"/>
        <v>0.25750744192609815</v>
      </c>
      <c r="M267" s="1">
        <f>+M146/L169</f>
        <v>0.18475110672314404</v>
      </c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t="s">
        <v>59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t="s">
        <v>60</v>
      </c>
      <c r="B270" s="1">
        <f aca="true" t="shared" si="99" ref="B270:L270">+B150/B149</f>
        <v>0.4150353178607467</v>
      </c>
      <c r="C270" s="1">
        <f t="shared" si="99"/>
        <v>0.4055346531171982</v>
      </c>
      <c r="D270" s="1">
        <f t="shared" si="99"/>
        <v>0.400858052913263</v>
      </c>
      <c r="E270" s="1">
        <f t="shared" si="99"/>
        <v>0.38549771262563864</v>
      </c>
      <c r="F270" s="1">
        <f t="shared" si="99"/>
        <v>0.38100627636588125</v>
      </c>
      <c r="G270" s="1">
        <f t="shared" si="99"/>
        <v>0.3749916371178163</v>
      </c>
      <c r="H270" s="1">
        <f t="shared" si="99"/>
        <v>0.3649914943920653</v>
      </c>
      <c r="I270" s="1">
        <f t="shared" si="99"/>
        <v>0.32001248829222606</v>
      </c>
      <c r="J270" s="1">
        <f t="shared" si="99"/>
        <v>0.32001449370841295</v>
      </c>
      <c r="K270" s="1">
        <f t="shared" si="99"/>
        <v>0.2900011475347129</v>
      </c>
      <c r="L270" s="1">
        <f t="shared" si="99"/>
        <v>0.2999979089122161</v>
      </c>
      <c r="M270" s="1">
        <f>+M150/M149</f>
        <v>0.3374971961219251</v>
      </c>
      <c r="N270" s="1">
        <f>+N150/N149</f>
        <v>0.23571322104635564</v>
      </c>
    </row>
    <row r="272" ht="12.75">
      <c r="A272" t="s">
        <v>115</v>
      </c>
    </row>
    <row r="273" spans="1:13" ht="12.75">
      <c r="A273" t="s">
        <v>46</v>
      </c>
      <c r="B273">
        <v>2007</v>
      </c>
      <c r="C273">
        <f aca="true" t="shared" si="100" ref="C273:H273">+B273+1</f>
        <v>2008</v>
      </c>
      <c r="D273">
        <f t="shared" si="100"/>
        <v>2009</v>
      </c>
      <c r="E273">
        <f t="shared" si="100"/>
        <v>2010</v>
      </c>
      <c r="F273">
        <f t="shared" si="100"/>
        <v>2011</v>
      </c>
      <c r="G273">
        <f t="shared" si="100"/>
        <v>2012</v>
      </c>
      <c r="H273">
        <f t="shared" si="100"/>
        <v>2013</v>
      </c>
      <c r="I273">
        <v>2014</v>
      </c>
      <c r="J273">
        <v>2014</v>
      </c>
      <c r="K273">
        <v>2014</v>
      </c>
      <c r="L273">
        <v>2014</v>
      </c>
      <c r="M273">
        <v>2014</v>
      </c>
    </row>
    <row r="274" spans="1:13" ht="12.75">
      <c r="A274" t="s">
        <v>58</v>
      </c>
      <c r="B274" s="4">
        <v>20489</v>
      </c>
      <c r="C274" s="4">
        <v>18470</v>
      </c>
      <c r="D274" s="4">
        <v>15954</v>
      </c>
      <c r="E274" s="4">
        <v>19014</v>
      </c>
      <c r="F274" s="4">
        <v>15466</v>
      </c>
      <c r="G274" s="4">
        <v>10586</v>
      </c>
      <c r="H274" s="4">
        <v>9222</v>
      </c>
      <c r="I274" s="4">
        <v>6290</v>
      </c>
      <c r="J274" s="4">
        <v>5473.25</v>
      </c>
      <c r="K274" s="4">
        <v>5473.25</v>
      </c>
      <c r="L274" s="4">
        <v>5473.25</v>
      </c>
      <c r="M274" s="4">
        <v>5473.25</v>
      </c>
    </row>
    <row r="275" spans="1:13" ht="12.75">
      <c r="A275" t="s">
        <v>61</v>
      </c>
      <c r="B275" s="4">
        <f>+B274*(1-0.35)</f>
        <v>13317.85</v>
      </c>
      <c r="C275" s="4">
        <f aca="true" t="shared" si="101" ref="C275:J275">+C274*(1-0.35)</f>
        <v>12005.5</v>
      </c>
      <c r="D275" s="4">
        <f t="shared" si="101"/>
        <v>10370.1</v>
      </c>
      <c r="E275" s="4">
        <f t="shared" si="101"/>
        <v>12359.1</v>
      </c>
      <c r="F275" s="4">
        <f t="shared" si="101"/>
        <v>10052.9</v>
      </c>
      <c r="G275" s="4">
        <f t="shared" si="101"/>
        <v>6880.900000000001</v>
      </c>
      <c r="H275" s="4">
        <f t="shared" si="101"/>
        <v>5994.3</v>
      </c>
      <c r="I275" s="4">
        <f t="shared" si="101"/>
        <v>4088.5</v>
      </c>
      <c r="J275" s="4">
        <f t="shared" si="101"/>
        <v>3557.6125</v>
      </c>
      <c r="K275" s="4">
        <f>+K274*(1-0.35)</f>
        <v>3557.6125</v>
      </c>
      <c r="L275" s="4">
        <f>+L274*(1-0.35)</f>
        <v>3557.6125</v>
      </c>
      <c r="M275" s="4">
        <f>+M274*(1-0.35)</f>
        <v>3557.6125</v>
      </c>
    </row>
    <row r="276" spans="1:10" ht="12.75">
      <c r="A276" t="s">
        <v>62</v>
      </c>
      <c r="B276" s="28">
        <f>NPV(B298,B275:Z275)</f>
        <v>67568.18085748643</v>
      </c>
      <c r="C276" s="4"/>
      <c r="D276" s="4"/>
      <c r="E276" s="4"/>
      <c r="F276" s="4"/>
      <c r="G276" s="4"/>
      <c r="H276" s="4"/>
      <c r="I276" s="4"/>
      <c r="J276" s="4"/>
    </row>
    <row r="278" ht="23.25">
      <c r="A278" s="85" t="s">
        <v>78</v>
      </c>
    </row>
    <row r="279" spans="1:16" ht="13.5" thickBot="1">
      <c r="A279" s="17" t="s">
        <v>89</v>
      </c>
      <c r="B279" s="31">
        <v>1995</v>
      </c>
      <c r="C279" s="31">
        <f>+B279+1</f>
        <v>1996</v>
      </c>
      <c r="D279" s="31">
        <f aca="true" t="shared" si="102" ref="D279:L279">+C279+1</f>
        <v>1997</v>
      </c>
      <c r="E279" s="31">
        <f t="shared" si="102"/>
        <v>1998</v>
      </c>
      <c r="F279" s="31">
        <f t="shared" si="102"/>
        <v>1999</v>
      </c>
      <c r="G279" s="31">
        <f t="shared" si="102"/>
        <v>2000</v>
      </c>
      <c r="H279" s="31">
        <f t="shared" si="102"/>
        <v>2001</v>
      </c>
      <c r="I279" s="31">
        <f t="shared" si="102"/>
        <v>2002</v>
      </c>
      <c r="J279" s="31">
        <f t="shared" si="102"/>
        <v>2003</v>
      </c>
      <c r="K279" s="31">
        <f t="shared" si="102"/>
        <v>2004</v>
      </c>
      <c r="L279" s="31">
        <f t="shared" si="102"/>
        <v>2005</v>
      </c>
      <c r="M279" s="29">
        <v>2006</v>
      </c>
      <c r="N279" s="31">
        <v>2007</v>
      </c>
      <c r="O279" s="29" t="s">
        <v>158</v>
      </c>
      <c r="P279" s="29" t="s">
        <v>159</v>
      </c>
    </row>
    <row r="280" ht="12.75">
      <c r="A280" t="s">
        <v>149</v>
      </c>
    </row>
    <row r="281" spans="1:16" ht="12.75">
      <c r="A281" t="s">
        <v>79</v>
      </c>
      <c r="E281" s="4">
        <f>+E178</f>
        <v>2452</v>
      </c>
      <c r="F281" s="4">
        <f aca="true" t="shared" si="103" ref="F281:L281">+F178</f>
        <v>5289</v>
      </c>
      <c r="G281" s="4">
        <f t="shared" si="103"/>
        <v>5781</v>
      </c>
      <c r="H281" s="4">
        <f t="shared" si="103"/>
        <v>7375</v>
      </c>
      <c r="I281" s="4">
        <f t="shared" si="103"/>
        <v>7500</v>
      </c>
      <c r="J281" s="4">
        <f t="shared" si="103"/>
        <v>16875</v>
      </c>
      <c r="K281" s="4">
        <f t="shared" si="103"/>
        <v>32949</v>
      </c>
      <c r="L281" s="4">
        <f t="shared" si="103"/>
        <v>26081</v>
      </c>
      <c r="M281" s="4">
        <f>+M178</f>
        <v>23789</v>
      </c>
      <c r="N281" s="4">
        <f>+N178</f>
        <v>25737</v>
      </c>
      <c r="O281" s="4">
        <f>+O178</f>
        <v>28997</v>
      </c>
      <c r="P281" s="4">
        <f>+P178</f>
        <v>30642</v>
      </c>
    </row>
    <row r="282" spans="1:16" ht="12.75">
      <c r="A282" t="s">
        <v>80</v>
      </c>
      <c r="E282" s="4">
        <f>+E182</f>
        <v>81058</v>
      </c>
      <c r="F282" s="4">
        <f aca="true" t="shared" si="104" ref="F282:L282">+F182</f>
        <v>114200</v>
      </c>
      <c r="G282" s="4">
        <f t="shared" si="104"/>
        <v>115808</v>
      </c>
      <c r="H282" s="4">
        <f t="shared" si="104"/>
        <v>160230</v>
      </c>
      <c r="I282" s="4">
        <f t="shared" si="104"/>
        <v>112663</v>
      </c>
      <c r="J282" s="4">
        <f t="shared" si="104"/>
        <v>165756</v>
      </c>
      <c r="K282" s="4">
        <f t="shared" si="104"/>
        <v>280256</v>
      </c>
      <c r="L282" s="4">
        <f t="shared" si="104"/>
        <v>542641</v>
      </c>
      <c r="M282" s="4">
        <f>+M182</f>
        <v>383459</v>
      </c>
      <c r="N282" s="4">
        <f>+N182</f>
        <v>263987</v>
      </c>
      <c r="O282" s="4">
        <f>+O182</f>
        <v>264416</v>
      </c>
      <c r="P282" s="4">
        <f>+P182</f>
        <v>219980</v>
      </c>
    </row>
    <row r="283" spans="1:16" ht="12.75">
      <c r="A283" t="s">
        <v>81</v>
      </c>
      <c r="E283" s="4">
        <f>+E282+E281</f>
        <v>83510</v>
      </c>
      <c r="F283" s="4">
        <f aca="true" t="shared" si="105" ref="F283:P283">+F282+F281</f>
        <v>119489</v>
      </c>
      <c r="G283" s="4">
        <f t="shared" si="105"/>
        <v>121589</v>
      </c>
      <c r="H283" s="4">
        <f t="shared" si="105"/>
        <v>167605</v>
      </c>
      <c r="I283" s="4">
        <f t="shared" si="105"/>
        <v>120163</v>
      </c>
      <c r="J283" s="4">
        <f t="shared" si="105"/>
        <v>182631</v>
      </c>
      <c r="K283" s="4">
        <f t="shared" si="105"/>
        <v>313205</v>
      </c>
      <c r="L283" s="4">
        <f t="shared" si="105"/>
        <v>568722</v>
      </c>
      <c r="M283" s="4">
        <f t="shared" si="105"/>
        <v>407248</v>
      </c>
      <c r="N283" s="4">
        <f t="shared" si="105"/>
        <v>289724</v>
      </c>
      <c r="O283" s="4">
        <f t="shared" si="105"/>
        <v>293413</v>
      </c>
      <c r="P283" s="4">
        <f t="shared" si="105"/>
        <v>250622</v>
      </c>
    </row>
    <row r="285" ht="12.75">
      <c r="A285" t="s">
        <v>150</v>
      </c>
    </row>
    <row r="286" spans="1:16" ht="12.75">
      <c r="A286" t="s">
        <v>82</v>
      </c>
      <c r="E286" s="21">
        <f>+E251</f>
        <v>10.94</v>
      </c>
      <c r="F286" s="21">
        <f aca="true" t="shared" si="106" ref="F286:L286">+F251</f>
        <v>7.89</v>
      </c>
      <c r="G286" s="21">
        <f t="shared" si="106"/>
        <v>8.76</v>
      </c>
      <c r="H286" s="21">
        <f t="shared" si="106"/>
        <v>10.35</v>
      </c>
      <c r="I286" s="21">
        <f t="shared" si="106"/>
        <v>10.12</v>
      </c>
      <c r="J286" s="21">
        <f t="shared" si="106"/>
        <v>10.45</v>
      </c>
      <c r="K286" s="21">
        <f t="shared" si="106"/>
        <v>14.34</v>
      </c>
      <c r="L286" s="21">
        <f t="shared" si="106"/>
        <v>20.94</v>
      </c>
      <c r="M286" s="21">
        <f aca="true" t="shared" si="107" ref="M286:P287">+M251</f>
        <v>34.34</v>
      </c>
      <c r="N286" s="21">
        <f t="shared" si="107"/>
        <v>35</v>
      </c>
      <c r="O286" s="21">
        <f t="shared" si="107"/>
        <v>40</v>
      </c>
      <c r="P286" s="21">
        <f t="shared" si="107"/>
        <v>47</v>
      </c>
    </row>
    <row r="287" spans="1:16" ht="12.75">
      <c r="A287" t="s">
        <v>116</v>
      </c>
      <c r="E287" s="7">
        <f>+E252</f>
        <v>16072.052401746725</v>
      </c>
      <c r="F287" s="7">
        <f aca="true" t="shared" si="108" ref="F287:L287">+F252</f>
        <v>15040</v>
      </c>
      <c r="G287" s="7">
        <f t="shared" si="108"/>
        <v>15314.754098360656</v>
      </c>
      <c r="H287" s="7">
        <f t="shared" si="108"/>
        <v>15509.859154929578</v>
      </c>
      <c r="I287" s="7">
        <f t="shared" si="108"/>
        <v>15808.064516129032</v>
      </c>
      <c r="J287" s="7">
        <f t="shared" si="108"/>
        <v>16002.32558139535</v>
      </c>
      <c r="K287" s="7">
        <f t="shared" si="108"/>
        <v>18940.30612244898</v>
      </c>
      <c r="L287" s="7">
        <f t="shared" si="108"/>
        <v>23911.07142857143</v>
      </c>
      <c r="M287" s="7">
        <f t="shared" si="107"/>
        <v>52325.984251968504</v>
      </c>
      <c r="N287" s="7">
        <f t="shared" si="107"/>
        <v>53273.76623376623</v>
      </c>
      <c r="O287" s="7">
        <f t="shared" si="107"/>
        <v>0</v>
      </c>
      <c r="P287" s="7">
        <f t="shared" si="107"/>
        <v>0</v>
      </c>
    </row>
    <row r="288" spans="1:16" ht="12.75">
      <c r="A288" t="s">
        <v>117</v>
      </c>
      <c r="E288" s="5">
        <f>+E287*E286</f>
        <v>175828.25327510916</v>
      </c>
      <c r="F288" s="5">
        <f aca="true" t="shared" si="109" ref="F288:L288">+F287*F286</f>
        <v>118665.59999999999</v>
      </c>
      <c r="G288" s="5">
        <f t="shared" si="109"/>
        <v>134157.24590163934</v>
      </c>
      <c r="H288" s="5">
        <f t="shared" si="109"/>
        <v>160527.04225352113</v>
      </c>
      <c r="I288" s="5">
        <f t="shared" si="109"/>
        <v>159977.6129032258</v>
      </c>
      <c r="J288" s="5">
        <f t="shared" si="109"/>
        <v>167224.30232558138</v>
      </c>
      <c r="K288" s="5">
        <f t="shared" si="109"/>
        <v>271603.98979591834</v>
      </c>
      <c r="L288" s="5">
        <f t="shared" si="109"/>
        <v>500697.8357142858</v>
      </c>
      <c r="M288" s="5">
        <f>+M287*M286</f>
        <v>1796874.2992125987</v>
      </c>
      <c r="N288" s="5">
        <f>+N287*N286</f>
        <v>1864581.8181818181</v>
      </c>
      <c r="O288" s="5">
        <f>+O287*O286</f>
        <v>0</v>
      </c>
      <c r="P288" s="5">
        <f>+P287*P286</f>
        <v>0</v>
      </c>
    </row>
    <row r="290" spans="1:16" ht="12.75">
      <c r="A290" t="s">
        <v>151</v>
      </c>
      <c r="E290" s="5">
        <f>+E288+E283</f>
        <v>259338.25327510916</v>
      </c>
      <c r="F290" s="5">
        <f aca="true" t="shared" si="110" ref="F290:L290">+F288+F283</f>
        <v>238154.59999999998</v>
      </c>
      <c r="G290" s="5">
        <f t="shared" si="110"/>
        <v>255746.24590163934</v>
      </c>
      <c r="H290" s="5">
        <f t="shared" si="110"/>
        <v>328132.04225352115</v>
      </c>
      <c r="I290" s="5">
        <f t="shared" si="110"/>
        <v>280140.6129032258</v>
      </c>
      <c r="J290" s="5">
        <f t="shared" si="110"/>
        <v>349855.3023255814</v>
      </c>
      <c r="K290" s="5">
        <f t="shared" si="110"/>
        <v>584808.9897959183</v>
      </c>
      <c r="L290" s="5">
        <f t="shared" si="110"/>
        <v>1069419.8357142857</v>
      </c>
      <c r="M290" s="5">
        <f>+M288+M283</f>
        <v>2204122.2992125987</v>
      </c>
      <c r="N290" s="5">
        <f>+N288+N283</f>
        <v>2154305.8181818184</v>
      </c>
      <c r="O290" s="5">
        <f>+O288+O283</f>
        <v>293413</v>
      </c>
      <c r="P290" s="5">
        <f>+P288+P283</f>
        <v>250622</v>
      </c>
    </row>
    <row r="291" spans="1:16" ht="12.75">
      <c r="A291" t="s">
        <v>83</v>
      </c>
      <c r="E291" s="22">
        <f>+E283/E290</f>
        <v>0.3220118858108124</v>
      </c>
      <c r="F291" s="22">
        <f aca="true" t="shared" si="111" ref="F291:L291">+F283/F290</f>
        <v>0.5017287089982726</v>
      </c>
      <c r="G291" s="22">
        <f t="shared" si="111"/>
        <v>0.475428288580875</v>
      </c>
      <c r="H291" s="22">
        <f t="shared" si="111"/>
        <v>0.5107852279495007</v>
      </c>
      <c r="I291" s="22">
        <f t="shared" si="111"/>
        <v>0.428938163426915</v>
      </c>
      <c r="J291" s="22">
        <f t="shared" si="111"/>
        <v>0.5220186711077497</v>
      </c>
      <c r="K291" s="22">
        <f t="shared" si="111"/>
        <v>0.5355680324088377</v>
      </c>
      <c r="L291" s="22">
        <f t="shared" si="111"/>
        <v>0.5318042372200248</v>
      </c>
      <c r="M291" s="22">
        <f>+M283/M290</f>
        <v>0.18476651687861667</v>
      </c>
      <c r="N291" s="22">
        <f>+N283/N290</f>
        <v>0.1344860128746809</v>
      </c>
      <c r="O291" s="22">
        <f>+O283/O290</f>
        <v>1</v>
      </c>
      <c r="P291" s="22">
        <f>+P283/P290</f>
        <v>1</v>
      </c>
    </row>
    <row r="292" spans="1:16" ht="12.75">
      <c r="A292" t="s">
        <v>84</v>
      </c>
      <c r="E292" s="22">
        <f>+E288/E290</f>
        <v>0.6779881141891876</v>
      </c>
      <c r="F292" s="22">
        <f aca="true" t="shared" si="112" ref="F292:L292">+F288/F290</f>
        <v>0.49827129100172746</v>
      </c>
      <c r="G292" s="22">
        <f t="shared" si="112"/>
        <v>0.5245717114191251</v>
      </c>
      <c r="H292" s="22">
        <f t="shared" si="112"/>
        <v>0.4892147720504992</v>
      </c>
      <c r="I292" s="22">
        <f t="shared" si="112"/>
        <v>0.571061836573085</v>
      </c>
      <c r="J292" s="22">
        <f t="shared" si="112"/>
        <v>0.4779813288922503</v>
      </c>
      <c r="K292" s="22">
        <f t="shared" si="112"/>
        <v>0.46443196759116234</v>
      </c>
      <c r="L292" s="22">
        <f t="shared" si="112"/>
        <v>0.4681957627799752</v>
      </c>
      <c r="M292" s="22">
        <f>+M288/M290</f>
        <v>0.8152334831213833</v>
      </c>
      <c r="N292" s="22">
        <f>+N288/N290</f>
        <v>0.865513987125319</v>
      </c>
      <c r="O292" s="22">
        <f>+O288/O290</f>
        <v>0</v>
      </c>
      <c r="P292" s="22">
        <f>+P288/P290</f>
        <v>0</v>
      </c>
    </row>
    <row r="294" ht="12.75">
      <c r="A294" t="s">
        <v>85</v>
      </c>
    </row>
    <row r="295" spans="1:3" ht="13.5" thickBot="1">
      <c r="A295" s="31" t="s">
        <v>89</v>
      </c>
      <c r="B295" s="31">
        <v>2008</v>
      </c>
      <c r="C295" t="s">
        <v>148</v>
      </c>
    </row>
    <row r="296" spans="1:2" ht="12.75">
      <c r="A296" t="s">
        <v>160</v>
      </c>
      <c r="B296" s="8">
        <v>0.09</v>
      </c>
    </row>
    <row r="297" spans="1:2" ht="12.75">
      <c r="A297" t="s">
        <v>161</v>
      </c>
      <c r="B297" s="22">
        <v>0.3</v>
      </c>
    </row>
    <row r="298" spans="1:2" ht="12.75">
      <c r="A298" t="s">
        <v>162</v>
      </c>
      <c r="B298" s="23">
        <f>+B296*(1-B297)</f>
        <v>0.063</v>
      </c>
    </row>
    <row r="300" ht="12.75">
      <c r="A300" t="s">
        <v>86</v>
      </c>
    </row>
    <row r="301" spans="1:3" ht="13.5" thickBot="1">
      <c r="A301" s="31" t="s">
        <v>89</v>
      </c>
      <c r="B301" s="31">
        <v>2008</v>
      </c>
      <c r="C301" t="s">
        <v>148</v>
      </c>
    </row>
    <row r="302" spans="1:2" ht="12.75">
      <c r="A302" t="s">
        <v>87</v>
      </c>
      <c r="B302" s="8">
        <v>0.0462</v>
      </c>
    </row>
    <row r="303" spans="1:2" ht="12.75">
      <c r="A303" t="s">
        <v>120</v>
      </c>
      <c r="B303" s="8">
        <v>0.05</v>
      </c>
    </row>
    <row r="304" spans="1:2" ht="12.75">
      <c r="A304" t="s">
        <v>88</v>
      </c>
      <c r="B304">
        <v>1.11</v>
      </c>
    </row>
    <row r="305" spans="1:2" ht="12.75">
      <c r="A305" t="s">
        <v>90</v>
      </c>
      <c r="B305" s="24">
        <f>+B302+B304*B303</f>
        <v>0.10170000000000001</v>
      </c>
    </row>
    <row r="307" ht="12.75">
      <c r="A307" t="s">
        <v>119</v>
      </c>
    </row>
    <row r="308" spans="1:2" ht="12.75">
      <c r="A308" t="s">
        <v>91</v>
      </c>
      <c r="B308" s="22">
        <v>0.25</v>
      </c>
    </row>
    <row r="309" spans="1:2" ht="12.75">
      <c r="A309" t="s">
        <v>92</v>
      </c>
      <c r="B309" s="22">
        <v>0.75</v>
      </c>
    </row>
    <row r="311" spans="1:2" ht="12.75">
      <c r="A311" t="s">
        <v>93</v>
      </c>
      <c r="B311" s="8">
        <f>+B298*B308+B305*B309</f>
        <v>0.09202500000000001</v>
      </c>
    </row>
  </sheetData>
  <sheetProtection/>
  <printOptions/>
  <pageMargins left="0.75" right="0.75" top="0.5" bottom="0.5" header="0.5" footer="0.5"/>
  <pageSetup fitToHeight="1" fitToWidth="1" horizontalDpi="600" verticalDpi="6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ellismi</dc:creator>
  <cp:keywords/>
  <dc:description/>
  <cp:lastModifiedBy>Zoila</cp:lastModifiedBy>
  <cp:lastPrinted>2009-10-04T19:27:00Z</cp:lastPrinted>
  <dcterms:created xsi:type="dcterms:W3CDTF">2006-09-26T14:42:36Z</dcterms:created>
  <dcterms:modified xsi:type="dcterms:W3CDTF">2009-12-07T02:46:27Z</dcterms:modified>
  <cp:category/>
  <cp:version/>
  <cp:contentType/>
  <cp:contentStatus/>
</cp:coreProperties>
</file>