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53" activeTab="2"/>
  </bookViews>
  <sheets>
    <sheet name="WMT Outstanding ESOs" sheetId="1" r:id="rId1"/>
    <sheet name="WMT Forcast - to be granted ESO" sheetId="2" r:id="rId2"/>
    <sheet name="WMT Marginal Tax Rate tESO" sheetId="3" r:id="rId3"/>
    <sheet name="WMT FCF Forecast" sheetId="4" r:id="rId4"/>
    <sheet name="Econ vs. GAAP Bal. Sht." sheetId="5" r:id="rId5"/>
    <sheet name="WMT GAAP BS with Econ Descrp." sheetId="6" r:id="rId6"/>
    <sheet name="WMT Bal. Sht." sheetId="7" r:id="rId7"/>
    <sheet name="WMT P&amp;L" sheetId="8" r:id="rId8"/>
    <sheet name="WMT - WACC" sheetId="9" r:id="rId9"/>
  </sheets>
  <definedNames>
    <definedName name="_xlnm.Print_Area" localSheetId="6">'WMT Bal. Sht.'!$B$2:$N$61</definedName>
  </definedNames>
  <calcPr fullCalcOnLoad="1"/>
</workbook>
</file>

<file path=xl/comments9.xml><?xml version="1.0" encoding="utf-8"?>
<comments xmlns="http://schemas.openxmlformats.org/spreadsheetml/2006/main">
  <authors>
    <author>Patrick J. Saul</author>
  </authors>
  <commentList>
    <comment ref="G14" authorId="0">
      <text>
        <r>
          <rPr>
            <b/>
            <sz val="8"/>
            <rFont val="Tahoma"/>
            <family val="0"/>
          </rPr>
          <t>Patrick J. Saul:</t>
        </r>
        <r>
          <rPr>
            <sz val="8"/>
            <rFont val="Tahoma"/>
            <family val="0"/>
          </rPr>
          <t xml:space="preserve">
Cost of Equity per CAPM</t>
        </r>
      </text>
    </comment>
    <comment ref="H15" authorId="0">
      <text>
        <r>
          <rPr>
            <b/>
            <sz val="8"/>
            <rFont val="Tahoma"/>
            <family val="0"/>
          </rPr>
          <t>Patrick J. Saul:</t>
        </r>
        <r>
          <rPr>
            <sz val="8"/>
            <rFont val="Tahoma"/>
            <family val="0"/>
          </rPr>
          <t xml:space="preserve">
WACC for WMT using CAPM
</t>
        </r>
      </text>
    </comment>
  </commentList>
</comments>
</file>

<file path=xl/sharedStrings.xml><?xml version="1.0" encoding="utf-8"?>
<sst xmlns="http://schemas.openxmlformats.org/spreadsheetml/2006/main" count="486" uniqueCount="309">
  <si>
    <t>EXHIBIT 1.0</t>
  </si>
  <si>
    <t>WAL-MART STORES INC.</t>
  </si>
  <si>
    <t>Consolidated Economic Balance Sheet</t>
  </si>
  <si>
    <t>(Amounts in millions)</t>
  </si>
  <si>
    <t>Economic</t>
  </si>
  <si>
    <t>GAAP</t>
  </si>
  <si>
    <t>Fiscal Year Ended January 31,</t>
  </si>
  <si>
    <t>2009</t>
  </si>
  <si>
    <t>Core operations</t>
  </si>
  <si>
    <t>Current assets of discontinued operations</t>
  </si>
  <si>
    <t>Other assets and deferred charges</t>
  </si>
  <si>
    <t>Current liabilities of discontinued operations</t>
  </si>
  <si>
    <t>Non-operating net assets</t>
  </si>
  <si>
    <t>Total core operations and non-operating net assets</t>
  </si>
  <si>
    <t>Commercial paper</t>
  </si>
  <si>
    <t>Long-term debt due within one year</t>
  </si>
  <si>
    <t>Obligations under capital leases due within one year</t>
  </si>
  <si>
    <t>Long-term debt</t>
  </si>
  <si>
    <t>Long-term obligations under capital leases</t>
  </si>
  <si>
    <t>Debt Claims</t>
  </si>
  <si>
    <t xml:space="preserve">Minority Interest </t>
  </si>
  <si>
    <t>Employee stock options</t>
  </si>
  <si>
    <t>Other capital claims</t>
  </si>
  <si>
    <t>Common equity</t>
  </si>
  <si>
    <t>Total capital claims</t>
  </si>
  <si>
    <t>Calculation of key items:</t>
  </si>
  <si>
    <t>Common equity  = As of 1/31/09: 3.925BN shares outstanding X market price of 42.17 = $165.5BN</t>
  </si>
  <si>
    <t xml:space="preserve">Minority Interest: </t>
  </si>
  <si>
    <t>Less: Debt claims</t>
  </si>
  <si>
    <t>Net Value</t>
  </si>
  <si>
    <t>Minority Interest (GAAP)</t>
  </si>
  <si>
    <t>Ratio of minority interest to net value</t>
  </si>
  <si>
    <t>EXHIBIT 1.1</t>
  </si>
  <si>
    <t>Consolidated Balance Sheet</t>
  </si>
  <si>
    <t>ASSETS</t>
  </si>
  <si>
    <t>Current Assets:</t>
  </si>
  <si>
    <t xml:space="preserve">   Cash and cash equivalents</t>
  </si>
  <si>
    <t>CORE</t>
  </si>
  <si>
    <t xml:space="preserve">   Receivables</t>
  </si>
  <si>
    <t xml:space="preserve">   Inventories</t>
  </si>
  <si>
    <t xml:space="preserve">   Prepaid expenses and other</t>
  </si>
  <si>
    <t xml:space="preserve">   Current assets of discontinued operations</t>
  </si>
  <si>
    <t>NONOP</t>
  </si>
  <si>
    <t xml:space="preserve">          Total current assets</t>
  </si>
  <si>
    <t>Property and equipment, at cost</t>
  </si>
  <si>
    <t xml:space="preserve">   Land</t>
  </si>
  <si>
    <t xml:space="preserve">   Building and improvements</t>
  </si>
  <si>
    <t xml:space="preserve">   Fixtures and equipment</t>
  </si>
  <si>
    <t xml:space="preserve">   Transportation equipment</t>
  </si>
  <si>
    <t xml:space="preserve">   Property and equipment, at cost</t>
  </si>
  <si>
    <t xml:space="preserve">   Less accumulated depreciation</t>
  </si>
  <si>
    <t xml:space="preserve">          Property and equipment, net</t>
  </si>
  <si>
    <t>Property under capital lease:</t>
  </si>
  <si>
    <t xml:space="preserve">   Property under capital lease</t>
  </si>
  <si>
    <t xml:space="preserve">   Less accumulated amortization</t>
  </si>
  <si>
    <t xml:space="preserve">          Property under capital lease, net</t>
  </si>
  <si>
    <t xml:space="preserve"> Goodwill</t>
  </si>
  <si>
    <t xml:space="preserve"> Other assets and deferred charges</t>
  </si>
  <si>
    <t xml:space="preserve">          Total assets</t>
  </si>
  <si>
    <t>LIABILITIES AND SHAREHOLDERS’ EQUITY</t>
  </si>
  <si>
    <t>Current liabilities</t>
  </si>
  <si>
    <t xml:space="preserve">   Commercial paper</t>
  </si>
  <si>
    <t>DEBT</t>
  </si>
  <si>
    <t xml:space="preserve">   Accrued liabilities</t>
  </si>
  <si>
    <t xml:space="preserve">   Accrued income taxes</t>
  </si>
  <si>
    <t xml:space="preserve">   Long-term debt due within one year</t>
  </si>
  <si>
    <t xml:space="preserve">   Obligations under capital leases due within one year</t>
  </si>
  <si>
    <t xml:space="preserve">   Current liabilities of discontinued operations</t>
  </si>
  <si>
    <t xml:space="preserve">          Total current liabilities</t>
  </si>
  <si>
    <t xml:space="preserve"> Long-term debt</t>
  </si>
  <si>
    <t xml:space="preserve"> Long-term obligations under capital leases</t>
  </si>
  <si>
    <t xml:space="preserve"> Deferred income taxes and other</t>
  </si>
  <si>
    <t xml:space="preserve"> Minority interest</t>
  </si>
  <si>
    <t>OCAP</t>
  </si>
  <si>
    <t xml:space="preserve">          Total liabilities</t>
  </si>
  <si>
    <t>Shareholders' equity:</t>
  </si>
  <si>
    <t xml:space="preserve">   Preferred stock ($0.10 par value; 100 shares authorized, none issued)</t>
  </si>
  <si>
    <t xml:space="preserve">   Common stock ($0.10 par value; 11,000 shares authorized, 3,925, 3,973 and 4,131 issued</t>
  </si>
  <si>
    <t xml:space="preserve">      and outstanding at January 31, 2009, January 31, 2008 and January 31, 2007 respectively)</t>
  </si>
  <si>
    <t>COMEQUITY</t>
  </si>
  <si>
    <t xml:space="preserve">   Capital in excess of par value</t>
  </si>
  <si>
    <t xml:space="preserve">   Retained earnings</t>
  </si>
  <si>
    <t xml:space="preserve">   Accumulated other comprehensive (loss) income</t>
  </si>
  <si>
    <t xml:space="preserve">          Total shareholder's equity</t>
  </si>
  <si>
    <t xml:space="preserve">          Total liabilities and shareholders’ equity</t>
  </si>
  <si>
    <r>
      <t xml:space="preserve">   </t>
    </r>
    <r>
      <rPr>
        <sz val="10"/>
        <rFont val="Arial"/>
        <family val="2"/>
      </rPr>
      <t>Accounts payable</t>
    </r>
  </si>
  <si>
    <t>EXHIBIT 1.4</t>
  </si>
  <si>
    <t>Consolidated Statement of Income</t>
  </si>
  <si>
    <t>Operating Revenue</t>
  </si>
  <si>
    <t>Adjustments to Revenue</t>
  </si>
  <si>
    <t>Cost of Sales</t>
  </si>
  <si>
    <t>Gross Operating Profit</t>
  </si>
  <si>
    <t>R &amp; D Expense</t>
  </si>
  <si>
    <t>Selling, Gen. &amp; Administrative Expense</t>
  </si>
  <si>
    <t>EBITDA</t>
  </si>
  <si>
    <t>Depreciation &amp; Amortization</t>
  </si>
  <si>
    <t>Operating Income After Depreciation</t>
  </si>
  <si>
    <t>Interest Income</t>
  </si>
  <si>
    <t>Other Income, Net</t>
  </si>
  <si>
    <t>Special Income/Charges</t>
  </si>
  <si>
    <t>EBIT</t>
  </si>
  <si>
    <t>Interest Expense</t>
  </si>
  <si>
    <t>Pre-Tax Income (EBT)</t>
  </si>
  <si>
    <t>Income Taxes</t>
  </si>
  <si>
    <t>Minority Interest</t>
  </si>
  <si>
    <t>Net Income from Continuing Operations</t>
  </si>
  <si>
    <t>Net Income from Discontinued Operations</t>
  </si>
  <si>
    <t>Net Income from Total Operations</t>
  </si>
  <si>
    <t>Extraordinary Income Losses</t>
  </si>
  <si>
    <t>Income from Cum. Effect of Acctg. Change</t>
  </si>
  <si>
    <t>Other Gains (Losses)</t>
  </si>
  <si>
    <t>Total Net Income</t>
  </si>
  <si>
    <t>Form 10K</t>
  </si>
  <si>
    <t>Check</t>
  </si>
  <si>
    <t>EXHIBIT 1.3</t>
  </si>
  <si>
    <t>CORE Assets</t>
  </si>
  <si>
    <t>CORE Liab.</t>
  </si>
  <si>
    <t>CORE Net Assets</t>
  </si>
  <si>
    <t>NONOP Assets</t>
  </si>
  <si>
    <t>NONOP Liab.</t>
  </si>
  <si>
    <t>NONOP Net Assets</t>
  </si>
  <si>
    <t>CORE + NONOP</t>
  </si>
  <si>
    <t>DEBT + OCAP</t>
  </si>
  <si>
    <t>COMMEQUITY</t>
  </si>
  <si>
    <t>TOTAL DEBT, OCAP &amp; COMMEQUITY</t>
  </si>
  <si>
    <t>check</t>
  </si>
  <si>
    <t>(amounts in millions)</t>
  </si>
  <si>
    <t>As of June 30,</t>
  </si>
  <si>
    <t>Deferred taxes to income tax provision</t>
  </si>
  <si>
    <t>Net revenues</t>
  </si>
  <si>
    <t>Cost of sales and related occupancy costs</t>
  </si>
  <si>
    <t xml:space="preserve">     Gross margin</t>
  </si>
  <si>
    <t>Operating expenses</t>
  </si>
  <si>
    <t xml:space="preserve">     Operating income </t>
  </si>
  <si>
    <t>Income taxes, net</t>
  </si>
  <si>
    <t xml:space="preserve">     NOPAT</t>
  </si>
  <si>
    <t>Depreciation and amortization</t>
  </si>
  <si>
    <t>Change in working capital</t>
  </si>
  <si>
    <t xml:space="preserve">Capital expenditures </t>
  </si>
  <si>
    <t xml:space="preserve">     Free Cash Flow</t>
  </si>
  <si>
    <r>
      <t xml:space="preserve">Revenue growth </t>
    </r>
    <r>
      <rPr>
        <i/>
        <sz val="10"/>
        <rFont val="Arial"/>
        <family val="2"/>
      </rPr>
      <t>(gs)</t>
    </r>
  </si>
  <si>
    <r>
      <t xml:space="preserve">Gross margin percentage </t>
    </r>
    <r>
      <rPr>
        <i/>
        <sz val="10"/>
        <rFont val="Arial"/>
        <family val="2"/>
      </rPr>
      <t>(gm)</t>
    </r>
  </si>
  <si>
    <r>
      <t xml:space="preserve">Operating expenses to revenues </t>
    </r>
    <r>
      <rPr>
        <i/>
        <sz val="10"/>
        <rFont val="Arial"/>
        <family val="2"/>
      </rPr>
      <t>(a)</t>
    </r>
  </si>
  <si>
    <r>
      <t xml:space="preserve">Effective income tax rate on core operations </t>
    </r>
    <r>
      <rPr>
        <i/>
        <sz val="10"/>
        <rFont val="Arial"/>
        <family val="2"/>
      </rPr>
      <t>(T</t>
    </r>
    <r>
      <rPr>
        <i/>
        <vertAlign val="superscript"/>
        <sz val="10"/>
        <rFont val="Arial"/>
        <family val="2"/>
      </rPr>
      <t>core</t>
    </r>
    <r>
      <rPr>
        <i/>
        <sz val="10"/>
        <rFont val="Arial"/>
        <family val="2"/>
      </rPr>
      <t>)</t>
    </r>
  </si>
  <si>
    <r>
      <t xml:space="preserve">Change in depreciation &amp; amortization </t>
    </r>
    <r>
      <rPr>
        <i/>
        <sz val="10"/>
        <rFont val="Arial"/>
        <family val="2"/>
      </rPr>
      <t>(DEPRC)</t>
    </r>
  </si>
  <si>
    <r>
      <t xml:space="preserve">Incremental working capital spending factor </t>
    </r>
    <r>
      <rPr>
        <i/>
        <sz val="10"/>
        <rFont val="Arial"/>
        <family val="2"/>
      </rPr>
      <t>(w)</t>
    </r>
  </si>
  <si>
    <r>
      <t xml:space="preserve">Maintenance capital spending factor </t>
    </r>
    <r>
      <rPr>
        <i/>
        <sz val="10"/>
        <rFont val="Arial"/>
        <family val="2"/>
      </rPr>
      <t>(c)</t>
    </r>
  </si>
  <si>
    <r>
      <t xml:space="preserve">Incremental fixed capital ratio </t>
    </r>
    <r>
      <rPr>
        <i/>
        <sz val="10"/>
        <rFont val="Arial"/>
        <family val="2"/>
      </rPr>
      <t>(f)</t>
    </r>
  </si>
  <si>
    <r>
      <t xml:space="preserve">Growth in perpetuity </t>
    </r>
    <r>
      <rPr>
        <i/>
        <sz val="10"/>
        <rFont val="Arial"/>
        <family val="2"/>
      </rPr>
      <t>(G</t>
    </r>
    <r>
      <rPr>
        <i/>
        <vertAlign val="subscript"/>
        <sz val="10"/>
        <rFont val="Arial"/>
        <family val="2"/>
      </rPr>
      <t>P</t>
    </r>
    <r>
      <rPr>
        <i/>
        <sz val="10"/>
        <rFont val="Arial"/>
        <family val="2"/>
      </rPr>
      <t>) - per S&amp;P Stock Report</t>
    </r>
  </si>
  <si>
    <t>Wal-Mart Stores, Inc. - 5-yr Free Cash Flow Forecast</t>
  </si>
  <si>
    <t>FORECAST DATA</t>
  </si>
  <si>
    <t>HISTORICAL DATA</t>
  </si>
  <si>
    <t>Net Income per 10K</t>
  </si>
  <si>
    <t>variance to NOPAT</t>
  </si>
  <si>
    <t>variance check</t>
  </si>
  <si>
    <t>Deferred income taxes, net (per 10-K footnotes)</t>
  </si>
  <si>
    <t>Notes:</t>
  </si>
  <si>
    <t>1. Working Capital (WC) = (Current Assets - Current Liabilities)</t>
  </si>
  <si>
    <t>2. Change in WC = (Current Year WC - Prior Year WC)</t>
  </si>
  <si>
    <t>4. Depreciation and amortization = retrieved from the Cash Flow Statement (addback to NOPAT as it is a Non-Cash charge)</t>
  </si>
  <si>
    <t>6. Growth in perpetuity or terminal growth rate provide per S&amp;P Stock Report retrieved September 11, 2009</t>
  </si>
  <si>
    <t>n/a</t>
  </si>
  <si>
    <t>3. Capital expenditures = retrieved from the Cash Flow Statement - Cash Flow from Investing - Payments for property and equipment</t>
  </si>
  <si>
    <r>
      <t xml:space="preserve">Discount rate </t>
    </r>
    <r>
      <rPr>
        <i/>
        <sz val="10"/>
        <rFont val="Arial"/>
        <family val="2"/>
      </rPr>
      <t>(K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>) - calculated WACC</t>
    </r>
  </si>
  <si>
    <t>Calculation of Present Value of forecasted Free Cash Flow (amounts in millions):</t>
  </si>
  <si>
    <t>PV</t>
  </si>
  <si>
    <t>*2014</t>
  </si>
  <si>
    <t xml:space="preserve">Present Value for each forecasted year </t>
  </si>
  <si>
    <t>Sum of Present Values (inclusive of terminal value in 2014)</t>
  </si>
  <si>
    <t>Terminal Value in 2014</t>
  </si>
  <si>
    <t>* 2014 first year of perpetuity period. I assume that the cost of investment here is equal to the present value of the cash flows it is expected to generate. In 2014 revenue growth is a very modest 2% and I set a terminal value / growth</t>
  </si>
  <si>
    <t xml:space="preserve">perpetuity of 2.8%. Moreover, I assume no growth in CapEx or PP&amp;E and an inflation rate of 3% (historical average). As noted previously, GM %, Oper. Exp. As a % of revenues and tax rate are held constant. I assumed maintenance </t>
  </si>
  <si>
    <t xml:space="preserve">CapEx equal to depreciation. For simplicity I kept the deferred tax rate and fixed capital ratio at zero </t>
  </si>
  <si>
    <t>5. WACC of 0.00% provided per calculaiton on WACC tab.</t>
  </si>
  <si>
    <t xml:space="preserve">Wal-Mart Stores, Incorporated - Unit 2 IP: Project 2 </t>
  </si>
  <si>
    <t>CAPM Method</t>
  </si>
  <si>
    <t>Key Input Amounts</t>
  </si>
  <si>
    <t>Weight</t>
  </si>
  <si>
    <t>Before-Tax Cost</t>
  </si>
  <si>
    <t>Effective Income Tax</t>
  </si>
  <si>
    <t>After-Tax Cost</t>
  </si>
  <si>
    <t>WACC</t>
  </si>
  <si>
    <t>Key Input Names</t>
  </si>
  <si>
    <t>Long-term debt due within 1 year</t>
  </si>
  <si>
    <t>Long-term obligations</t>
  </si>
  <si>
    <t>Total debt</t>
  </si>
  <si>
    <t>Total equity</t>
  </si>
  <si>
    <t>Total debt + equity</t>
  </si>
  <si>
    <t>WMT Cost of Equity Calc:</t>
  </si>
  <si>
    <t>Beta (B)</t>
  </si>
  <si>
    <t>Risk Free Rate (KRF)</t>
  </si>
  <si>
    <t>Equity Risk Premium (KM)</t>
  </si>
  <si>
    <t>Assumption based on Soffer (2003, p. 148) "The historical premium has averaged out about 7% to 9% over the past 75 years"</t>
  </si>
  <si>
    <t>Cost of equity using CAPM</t>
  </si>
  <si>
    <t>formula</t>
  </si>
  <si>
    <t xml:space="preserve"> KS = KRF + B(KM - KRF)</t>
  </si>
  <si>
    <t>WMT Cost of Debt Calc:</t>
  </si>
  <si>
    <t>Key assumptions</t>
  </si>
  <si>
    <t>Amount</t>
  </si>
  <si>
    <t>Source</t>
  </si>
  <si>
    <t>Interest expense</t>
  </si>
  <si>
    <t>linked from above; Cell C13</t>
  </si>
  <si>
    <t>Cost of debt</t>
  </si>
  <si>
    <t>Retrieved September 15, 2009 from, http://finance.yahoo.com/q/ks?s=WMT</t>
  </si>
  <si>
    <t>Assumption based on the 10-yr Treasury Bond yield, Retrieved September 15, 2009 from, http://www.bloomberg.com/markets/index.html?Intro=intro_markets</t>
  </si>
  <si>
    <t>ECON BS</t>
  </si>
  <si>
    <t>Growth in perpetuity = (assumed LT sustainable growth rate) = 2.8%</t>
  </si>
  <si>
    <t>Discount rate = (WACC) = 3.9%</t>
  </si>
  <si>
    <t>Outstanding ESOs</t>
  </si>
  <si>
    <t>Minority interest (economic) - 0.0324708 x $171,072</t>
  </si>
  <si>
    <t>linked to WMT - P&amp;L Tab Cell E21</t>
  </si>
  <si>
    <t>From WMT Econ vs. GAAP Bal. Sht.</t>
  </si>
  <si>
    <t>Weighted-Average</t>
  </si>
  <si>
    <t>Exercise Price</t>
  </si>
  <si>
    <t>Options</t>
  </si>
  <si>
    <t>Granted</t>
  </si>
  <si>
    <t>Exercised</t>
  </si>
  <si>
    <t xml:space="preserve"> </t>
  </si>
  <si>
    <t>Comequity = ∑ FCF t/(1 + kc)^t - ∑ GRANT t * (1 - t ESO)/ (1 + kc)^t +NONOP - DEBT - ESO*(1 - T ESO) - OCAP</t>
  </si>
  <si>
    <t>were deductible ($thousands)</t>
  </si>
  <si>
    <t>million of dollars, except for share amount</t>
  </si>
  <si>
    <t>Iteration 1</t>
  </si>
  <si>
    <t>Present value of FCF before ESO granted</t>
  </si>
  <si>
    <t>Forecasted ESO grants</t>
  </si>
  <si>
    <t>Combined value of equity and outstanding ESOs</t>
  </si>
  <si>
    <t xml:space="preserve">Minority interest </t>
  </si>
  <si>
    <t>Value of equity</t>
  </si>
  <si>
    <t xml:space="preserve">Number of shares outstanding </t>
  </si>
  <si>
    <t>Value per share</t>
  </si>
  <si>
    <t>Computed value of existing options at above share value:</t>
  </si>
  <si>
    <t xml:space="preserve">Range of exercise prices </t>
  </si>
  <si>
    <t>$3.92-$8.93</t>
  </si>
  <si>
    <t>$9.02-29.88</t>
  </si>
  <si>
    <t>$30.01-39.79</t>
  </si>
  <si>
    <t>$40.20-48.91</t>
  </si>
  <si>
    <t>$55.66-56.30</t>
  </si>
  <si>
    <t xml:space="preserve">Number of options </t>
  </si>
  <si>
    <t xml:space="preserve">Average exercise price ($) </t>
  </si>
  <si>
    <t>Time of expiration (years)</t>
  </si>
  <si>
    <t>Standard deviation of returns</t>
  </si>
  <si>
    <t>Risk free interest rate</t>
  </si>
  <si>
    <t>Black-Scholes value per option (dollars)</t>
  </si>
  <si>
    <t xml:space="preserve">Marginal tax rate on t ESO </t>
  </si>
  <si>
    <t>After tax option value per option (dollar)</t>
  </si>
  <si>
    <t xml:space="preserve">After tax option value </t>
  </si>
  <si>
    <t>Total after-tax value of all options</t>
  </si>
  <si>
    <t>Error (assumed ESO value -computed ESO value)</t>
  </si>
  <si>
    <t>Iteration 2</t>
  </si>
  <si>
    <t>Outstanding as of January 31, 2009</t>
  </si>
  <si>
    <t>Outstanding as of January 31, 2006</t>
  </si>
  <si>
    <t>Outstanding as of January 31, 2007</t>
  </si>
  <si>
    <t>Outstanding as of January 31, 2008</t>
  </si>
  <si>
    <t>Forfeited or expired</t>
  </si>
  <si>
    <t>Outstanding as of January 31, 2005</t>
  </si>
  <si>
    <t>Shares</t>
  </si>
  <si>
    <t>Number of</t>
  </si>
  <si>
    <t>Stock Options</t>
  </si>
  <si>
    <t>per Share</t>
  </si>
  <si>
    <t>Shares Subject</t>
  </si>
  <si>
    <t xml:space="preserve">to Exercisable </t>
  </si>
  <si>
    <t>Wal-Mart Stores, Inc. ("WMT")</t>
  </si>
  <si>
    <t xml:space="preserve">As of January 31, 2009, WMT has awarded share-based compensation to executives and other associates of the Company through </t>
  </si>
  <si>
    <t>various share-based compensation plans. A summary of the stock option award activity for fiscal 2005 thru 2009 is presented below:</t>
  </si>
  <si>
    <t>Share-Based Compensation Plans</t>
  </si>
  <si>
    <r>
      <t xml:space="preserve">Stock option income tax benefits </t>
    </r>
    <r>
      <rPr>
        <i/>
        <sz val="10"/>
        <rFont val="Arial"/>
        <family val="2"/>
      </rPr>
      <t>(in thousands)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BE</t>
    </r>
  </si>
  <si>
    <r>
      <t xml:space="preserve">Number of options exercised </t>
    </r>
    <r>
      <rPr>
        <i/>
        <sz val="10"/>
        <rFont val="Arial"/>
        <family val="2"/>
      </rPr>
      <t xml:space="preserve">(in thousands) 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E</t>
    </r>
  </si>
  <si>
    <r>
      <t>Average stock price at exercise (in $) S</t>
    </r>
    <r>
      <rPr>
        <vertAlign val="subscript"/>
        <sz val="10"/>
        <rFont val="Arial"/>
        <family val="2"/>
      </rPr>
      <t>E</t>
    </r>
  </si>
  <si>
    <t>Average strike price of exercised options (in $) - X</t>
  </si>
  <si>
    <r>
      <t>Estimated tax deduction if all options exercises (N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*(S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- X)</t>
    </r>
  </si>
  <si>
    <r>
      <t>Marginal tax rate on ESOs   (</t>
    </r>
    <r>
      <rPr>
        <b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>ESO</t>
    </r>
    <r>
      <rPr>
        <b/>
        <sz val="10"/>
        <rFont val="Arial"/>
        <family val="2"/>
      </rPr>
      <t>) = T</t>
    </r>
    <r>
      <rPr>
        <b/>
        <vertAlign val="subscript"/>
        <sz val="10"/>
        <rFont val="Arial"/>
        <family val="2"/>
      </rPr>
      <t>BE</t>
    </r>
    <r>
      <rPr>
        <b/>
        <sz val="10"/>
        <rFont val="Arial"/>
        <family val="2"/>
      </rPr>
      <t xml:space="preserve"> / (N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*[S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- X])</t>
    </r>
  </si>
  <si>
    <r>
      <t xml:space="preserve">WMT'S </t>
    </r>
    <r>
      <rPr>
        <b/>
        <u val="single"/>
        <vertAlign val="subscript"/>
        <sz val="10"/>
        <color indexed="10"/>
        <rFont val="Arial"/>
        <family val="2"/>
      </rPr>
      <t>T</t>
    </r>
    <r>
      <rPr>
        <b/>
        <u val="single"/>
        <sz val="10"/>
        <color indexed="10"/>
        <rFont val="Arial"/>
        <family val="2"/>
      </rPr>
      <t>ESO Calculation:</t>
    </r>
  </si>
  <si>
    <r>
      <t>Exercised (N</t>
    </r>
    <r>
      <rPr>
        <vertAlign val="subscript"/>
        <sz val="10"/>
        <color indexed="12"/>
        <rFont val="Arial"/>
        <family val="0"/>
      </rPr>
      <t>E</t>
    </r>
    <r>
      <rPr>
        <sz val="10"/>
        <color indexed="12"/>
        <rFont val="Arial"/>
        <family val="0"/>
      </rPr>
      <t>)</t>
    </r>
  </si>
  <si>
    <r>
      <t>linked to Exercised (N</t>
    </r>
    <r>
      <rPr>
        <vertAlign val="subscript"/>
        <sz val="10"/>
        <rFont val="Arial"/>
        <family val="0"/>
      </rPr>
      <t>E</t>
    </r>
    <r>
      <rPr>
        <sz val="10"/>
        <rFont val="Arial"/>
        <family val="0"/>
      </rPr>
      <t>) options above</t>
    </r>
  </si>
  <si>
    <t>The value of WMT's Yet -to-be-Granted ESOs</t>
  </si>
  <si>
    <t xml:space="preserve">The weighted-average grant-date fair value of options granted during the fiscal years ended January 31, 2009, 2008 and 2007, was $9.97, $11.00 and $9.20, respectively. </t>
  </si>
  <si>
    <t xml:space="preserve">Stock options granted in fiscal 2009 were primarily issued under the ASDA Sharesave plan. The total intrinsic value of options exercised during the years ended </t>
  </si>
  <si>
    <r>
      <t xml:space="preserve">January 31, 2009, 2008 and 2007, was $173 million, $60 million and $103 million, respectively. </t>
    </r>
    <r>
      <rPr>
        <sz val="10"/>
        <color indexed="10"/>
        <rFont val="Arial"/>
        <family val="2"/>
      </rPr>
      <t>(per WMT 2009 Form 10K)</t>
    </r>
  </si>
  <si>
    <t xml:space="preserve">Calculation of aggregate values of options granted in fiscal year 2009, 2008, and 2007 are: </t>
  </si>
  <si>
    <t>Wgt. Avg.</t>
  </si>
  <si>
    <t>Grant Date Fair Value</t>
  </si>
  <si>
    <t xml:space="preserve">Intrinsic </t>
  </si>
  <si>
    <t>Value</t>
  </si>
  <si>
    <t>% Chg</t>
  </si>
  <si>
    <t>Growth Rate</t>
  </si>
  <si>
    <t>(2-yr avg growth rate)</t>
  </si>
  <si>
    <t xml:space="preserve">The fair value of each stock option award is estimated on the date of grant using the Black-Scholes-Merton option valuation model that uses various assumptions for </t>
  </si>
  <si>
    <t xml:space="preserve">inputs, which are noted in the following table. Generally, the Company uses expected volatilities and risk-free interest rates that correlate with the expected term of the </t>
  </si>
  <si>
    <t>option when estimating an option’s fair value. To determine the expected life of the option, the Company bases its estimates on historical exercise and expiration activity</t>
  </si>
  <si>
    <t xml:space="preserve"> of grants with similar vesting periods. Expected volatility is based on historical volatility of our stock and the expected risk-free interest rate is based on the U.S. Treasury yield </t>
  </si>
  <si>
    <t>weighted-average of the assumptions used by the Company to estimate the fair values of the Company’s stock options at the grant dates:</t>
  </si>
  <si>
    <r>
      <t xml:space="preserve">curve at the time of the grant. The expected dividend yield over the vesting period is based on the annual dividend rate at the time of grant. </t>
    </r>
    <r>
      <rPr>
        <sz val="10"/>
        <color indexed="10"/>
        <rFont val="Arial"/>
        <family val="2"/>
      </rPr>
      <t xml:space="preserve">The following table represents a </t>
    </r>
  </si>
  <si>
    <t xml:space="preserve">  </t>
  </si>
  <si>
    <t>Dividend yield</t>
  </si>
  <si>
    <t>Volatility</t>
  </si>
  <si>
    <t>Risk-free interest rate</t>
  </si>
  <si>
    <t>Expected life in years</t>
  </si>
  <si>
    <t xml:space="preserve">Cost of Capital </t>
  </si>
  <si>
    <r>
      <t xml:space="preserve">The estimated </t>
    </r>
    <r>
      <rPr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ESO</t>
    </r>
    <r>
      <rPr>
        <sz val="10"/>
        <rFont val="Arial"/>
        <family val="0"/>
      </rPr>
      <t xml:space="preserve"> </t>
    </r>
  </si>
  <si>
    <r>
      <t>from Maginal Tax Rate</t>
    </r>
    <r>
      <rPr>
        <vertAlign val="subscript"/>
        <sz val="10"/>
        <rFont val="Arial"/>
        <family val="2"/>
      </rPr>
      <t xml:space="preserve">  T</t>
    </r>
    <r>
      <rPr>
        <sz val="10"/>
        <rFont val="Arial"/>
        <family val="0"/>
      </rPr>
      <t>ESO tab</t>
    </r>
  </si>
  <si>
    <t>From WMT WACC Tab</t>
  </si>
  <si>
    <t xml:space="preserve">Aggregate dollar value of ESO grants </t>
  </si>
  <si>
    <t>based on risk free rate in 2009 per WMT management assumption</t>
  </si>
  <si>
    <t>Present Value of the forecasted future option grants</t>
  </si>
  <si>
    <r>
      <t xml:space="preserve">Calculation of Comequity = ∑  GRANT </t>
    </r>
    <r>
      <rPr>
        <b/>
        <u val="single"/>
        <vertAlign val="subscript"/>
        <sz val="10"/>
        <rFont val="Arial"/>
        <family val="2"/>
      </rPr>
      <t>T</t>
    </r>
    <r>
      <rPr>
        <b/>
        <u val="single"/>
        <sz val="10"/>
        <rFont val="Arial"/>
        <family val="2"/>
      </rPr>
      <t xml:space="preserve"> * (1 + </t>
    </r>
    <r>
      <rPr>
        <b/>
        <u val="single"/>
        <vertAlign val="subscript"/>
        <sz val="10"/>
        <rFont val="Arial"/>
        <family val="2"/>
      </rPr>
      <t>G</t>
    </r>
    <r>
      <rPr>
        <b/>
        <u val="single"/>
        <sz val="10"/>
        <rFont val="Arial"/>
        <family val="2"/>
      </rPr>
      <t xml:space="preserve">ESO) (1 - </t>
    </r>
    <r>
      <rPr>
        <b/>
        <u val="single"/>
        <vertAlign val="subscript"/>
        <sz val="10"/>
        <rFont val="Arial"/>
        <family val="2"/>
      </rPr>
      <t>T</t>
    </r>
    <r>
      <rPr>
        <b/>
        <u val="single"/>
        <sz val="10"/>
        <rFont val="Arial"/>
        <family val="2"/>
      </rPr>
      <t>ESO)/ (K</t>
    </r>
    <r>
      <rPr>
        <b/>
        <u val="single"/>
        <vertAlign val="subscript"/>
        <sz val="10"/>
        <rFont val="Arial"/>
        <family val="2"/>
      </rPr>
      <t>C</t>
    </r>
    <r>
      <rPr>
        <b/>
        <u val="single"/>
        <sz val="10"/>
        <rFont val="Arial"/>
        <family val="2"/>
      </rPr>
      <t xml:space="preserve"> - </t>
    </r>
    <r>
      <rPr>
        <b/>
        <u val="single"/>
        <vertAlign val="subscript"/>
        <sz val="10"/>
        <rFont val="Arial"/>
        <family val="2"/>
      </rPr>
      <t>G</t>
    </r>
    <r>
      <rPr>
        <b/>
        <u val="single"/>
        <sz val="10"/>
        <rFont val="Arial"/>
        <family val="2"/>
      </rPr>
      <t xml:space="preserve">ESO) </t>
    </r>
  </si>
  <si>
    <t>Inputs for Calculation below</t>
  </si>
  <si>
    <t>Also the Wgt. Avg. Exercise Price per Footnotes (lniked above)</t>
  </si>
  <si>
    <t xml:space="preserve">Estimating the Value of WMT's Outstanding ESOs and Common Equity </t>
  </si>
  <si>
    <t>Estimated from price range where in 10K?</t>
  </si>
  <si>
    <t>provided per WMT 2009 10K Financial Footnotes (supplement ot Cash Flow Stmt)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</si>
</sst>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0_);_(* \(#,##0.000000000\);_(* &quot;-&quot;?????????_);_(@_)"/>
    <numFmt numFmtId="180" formatCode="0.0"/>
    <numFmt numFmtId="181" formatCode="#,##0.0_);\(#,##0.0\)"/>
    <numFmt numFmtId="182" formatCode="#,##0.000_);\(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_);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#,##0;[Red]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9"/>
      <color indexed="10"/>
      <name val="Arial"/>
      <family val="0"/>
    </font>
    <font>
      <sz val="9"/>
      <name val="Arial"/>
      <family val="0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vertAlign val="subscript"/>
      <sz val="10"/>
      <color indexed="10"/>
      <name val="Arial"/>
      <family val="2"/>
    </font>
    <font>
      <vertAlign val="subscript"/>
      <sz val="10"/>
      <color indexed="12"/>
      <name val="Arial"/>
      <family val="0"/>
    </font>
    <font>
      <b/>
      <u val="single"/>
      <vertAlign val="subscript"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>
        <color indexed="10"/>
      </left>
      <right>
        <color indexed="63"/>
      </right>
      <top style="thin"/>
      <bottom style="double"/>
    </border>
    <border>
      <left>
        <color indexed="63"/>
      </left>
      <right style="thick">
        <color indexed="10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165" fontId="0" fillId="0" borderId="0" xfId="42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24" borderId="15" xfId="0" applyFont="1" applyFill="1" applyBorder="1" applyAlignment="1">
      <alignment/>
    </xf>
    <xf numFmtId="0" fontId="18" fillId="24" borderId="15" xfId="0" applyFont="1" applyFill="1" applyBorder="1" applyAlignment="1" quotePrefix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24" borderId="0" xfId="0" applyFont="1" applyFill="1" applyBorder="1" applyAlignment="1">
      <alignment/>
    </xf>
    <xf numFmtId="167" fontId="0" fillId="24" borderId="0" xfId="45" applyNumberFormat="1" applyFont="1" applyFill="1" applyBorder="1" applyAlignment="1">
      <alignment/>
    </xf>
    <xf numFmtId="165" fontId="0" fillId="24" borderId="0" xfId="42" applyNumberFormat="1" applyFont="1" applyFill="1" applyBorder="1" applyAlignment="1">
      <alignment/>
    </xf>
    <xf numFmtId="167" fontId="0" fillId="24" borderId="0" xfId="45" applyNumberFormat="1" applyFont="1" applyFill="1" applyBorder="1" applyAlignment="1">
      <alignment/>
    </xf>
    <xf numFmtId="165" fontId="18" fillId="0" borderId="0" xfId="42" applyNumberFormat="1" applyFont="1" applyAlignment="1">
      <alignment/>
    </xf>
    <xf numFmtId="165" fontId="0" fillId="24" borderId="16" xfId="42" applyNumberFormat="1" applyFont="1" applyFill="1" applyBorder="1" applyAlignment="1">
      <alignment/>
    </xf>
    <xf numFmtId="165" fontId="0" fillId="24" borderId="0" xfId="42" applyNumberFormat="1" applyFont="1" applyFill="1" applyBorder="1" applyAlignment="1">
      <alignment/>
    </xf>
    <xf numFmtId="167" fontId="18" fillId="24" borderId="17" xfId="45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0" fontId="0" fillId="24" borderId="0" xfId="61" applyNumberFormat="1" applyFont="1" applyFill="1" applyBorder="1" applyAlignment="1">
      <alignment/>
    </xf>
    <xf numFmtId="167" fontId="18" fillId="24" borderId="18" xfId="45" applyNumberFormat="1" applyFont="1" applyFill="1" applyBorder="1" applyAlignment="1">
      <alignment/>
    </xf>
    <xf numFmtId="167" fontId="18" fillId="24" borderId="0" xfId="45" applyNumberFormat="1" applyFont="1" applyFill="1" applyBorder="1" applyAlignment="1">
      <alignment/>
    </xf>
    <xf numFmtId="0" fontId="21" fillId="8" borderId="19" xfId="0" applyFont="1" applyFill="1" applyBorder="1" applyAlignment="1">
      <alignment/>
    </xf>
    <xf numFmtId="0" fontId="0" fillId="8" borderId="20" xfId="0" applyFill="1" applyBorder="1" applyAlignment="1">
      <alignment/>
    </xf>
    <xf numFmtId="165" fontId="0" fillId="8" borderId="20" xfId="42" applyNumberFormat="1" applyFont="1" applyFill="1" applyBorder="1" applyAlignment="1">
      <alignment/>
    </xf>
    <xf numFmtId="165" fontId="0" fillId="8" borderId="21" xfId="42" applyNumberFormat="1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0" fillId="8" borderId="0" xfId="0" applyFill="1" applyBorder="1" applyAlignment="1">
      <alignment/>
    </xf>
    <xf numFmtId="165" fontId="0" fillId="8" borderId="0" xfId="42" applyNumberFormat="1" applyFont="1" applyFill="1" applyBorder="1" applyAlignment="1">
      <alignment/>
    </xf>
    <xf numFmtId="165" fontId="0" fillId="8" borderId="23" xfId="42" applyNumberFormat="1" applyFont="1" applyFill="1" applyBorder="1" applyAlignment="1">
      <alignment/>
    </xf>
    <xf numFmtId="0" fontId="0" fillId="8" borderId="22" xfId="0" applyFill="1" applyBorder="1" applyAlignment="1">
      <alignment/>
    </xf>
    <xf numFmtId="167" fontId="0" fillId="8" borderId="0" xfId="45" applyNumberFormat="1" applyFont="1" applyFill="1" applyBorder="1" applyAlignment="1">
      <alignment/>
    </xf>
    <xf numFmtId="165" fontId="0" fillId="8" borderId="16" xfId="42" applyNumberFormat="1" applyFont="1" applyFill="1" applyBorder="1" applyAlignment="1">
      <alignment/>
    </xf>
    <xf numFmtId="178" fontId="0" fillId="8" borderId="0" xfId="42" applyNumberFormat="1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15" xfId="0" applyFill="1" applyBorder="1" applyAlignment="1">
      <alignment/>
    </xf>
    <xf numFmtId="167" fontId="18" fillId="8" borderId="15" xfId="45" applyNumberFormat="1" applyFont="1" applyFill="1" applyBorder="1" applyAlignment="1">
      <alignment/>
    </xf>
    <xf numFmtId="165" fontId="0" fillId="8" borderId="15" xfId="42" applyNumberFormat="1" applyFont="1" applyFill="1" applyBorder="1" applyAlignment="1">
      <alignment/>
    </xf>
    <xf numFmtId="165" fontId="0" fillId="8" borderId="25" xfId="42" applyNumberFormat="1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165" fontId="0" fillId="24" borderId="15" xfId="42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20" borderId="0" xfId="0" applyFont="1" applyFill="1" applyBorder="1" applyAlignment="1">
      <alignment/>
    </xf>
    <xf numFmtId="0" fontId="0" fillId="0" borderId="0" xfId="0" applyBorder="1" applyAlignment="1">
      <alignment/>
    </xf>
    <xf numFmtId="167" fontId="18" fillId="20" borderId="18" xfId="45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7" fontId="18" fillId="0" borderId="0" xfId="0" applyNumberFormat="1" applyFont="1" applyAlignment="1">
      <alignment/>
    </xf>
    <xf numFmtId="0" fontId="0" fillId="24" borderId="0" xfId="0" applyFill="1" applyAlignment="1">
      <alignment/>
    </xf>
    <xf numFmtId="165" fontId="19" fillId="24" borderId="0" xfId="42" applyNumberFormat="1" applyFont="1" applyFill="1" applyBorder="1" applyAlignment="1">
      <alignment/>
    </xf>
    <xf numFmtId="165" fontId="18" fillId="24" borderId="0" xfId="42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Fill="1" applyBorder="1" applyAlignment="1">
      <alignment horizontal="right"/>
    </xf>
    <xf numFmtId="165" fontId="2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18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27" fillId="24" borderId="29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31" xfId="0" applyFont="1" applyFill="1" applyBorder="1" applyAlignment="1">
      <alignment horizontal="center"/>
    </xf>
    <xf numFmtId="167" fontId="0" fillId="24" borderId="31" xfId="45" applyNumberFormat="1" applyFont="1" applyFill="1" applyBorder="1" applyAlignment="1">
      <alignment/>
    </xf>
    <xf numFmtId="37" fontId="28" fillId="24" borderId="31" xfId="0" applyNumberFormat="1" applyFont="1" applyFill="1" applyBorder="1" applyAlignment="1">
      <alignment/>
    </xf>
    <xf numFmtId="37" fontId="28" fillId="24" borderId="0" xfId="0" applyNumberFormat="1" applyFont="1" applyFill="1" applyBorder="1" applyAlignment="1">
      <alignment/>
    </xf>
    <xf numFmtId="37" fontId="0" fillId="24" borderId="31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37" fontId="0" fillId="24" borderId="31" xfId="0" applyNumberFormat="1" applyFill="1" applyBorder="1" applyAlignment="1">
      <alignment/>
    </xf>
    <xf numFmtId="37" fontId="0" fillId="24" borderId="0" xfId="0" applyNumberFormat="1" applyFill="1" applyBorder="1" applyAlignment="1">
      <alignment/>
    </xf>
    <xf numFmtId="167" fontId="18" fillId="24" borderId="32" xfId="45" applyNumberFormat="1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29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67" fontId="0" fillId="24" borderId="0" xfId="0" applyNumberFormat="1" applyFill="1" applyBorder="1" applyAlignment="1">
      <alignment/>
    </xf>
    <xf numFmtId="0" fontId="0" fillId="24" borderId="30" xfId="0" applyFill="1" applyBorder="1" applyAlignment="1">
      <alignment/>
    </xf>
    <xf numFmtId="167" fontId="0" fillId="24" borderId="29" xfId="45" applyNumberFormat="1" applyFont="1" applyFill="1" applyBorder="1" applyAlignment="1">
      <alignment/>
    </xf>
    <xf numFmtId="167" fontId="0" fillId="24" borderId="30" xfId="45" applyNumberFormat="1" applyFont="1" applyFill="1" applyBorder="1" applyAlignment="1">
      <alignment/>
    </xf>
    <xf numFmtId="37" fontId="28" fillId="24" borderId="29" xfId="0" applyNumberFormat="1" applyFont="1" applyFill="1" applyBorder="1" applyAlignment="1">
      <alignment/>
    </xf>
    <xf numFmtId="37" fontId="28" fillId="24" borderId="30" xfId="0" applyNumberFormat="1" applyFont="1" applyFill="1" applyBorder="1" applyAlignment="1">
      <alignment/>
    </xf>
    <xf numFmtId="37" fontId="0" fillId="24" borderId="29" xfId="0" applyNumberFormat="1" applyFont="1" applyFill="1" applyBorder="1" applyAlignment="1">
      <alignment/>
    </xf>
    <xf numFmtId="37" fontId="0" fillId="24" borderId="30" xfId="0" applyNumberFormat="1" applyFont="1" applyFill="1" applyBorder="1" applyAlignment="1">
      <alignment/>
    </xf>
    <xf numFmtId="37" fontId="0" fillId="24" borderId="29" xfId="0" applyNumberFormat="1" applyFill="1" applyBorder="1" applyAlignment="1">
      <alignment/>
    </xf>
    <xf numFmtId="37" fontId="0" fillId="24" borderId="30" xfId="0" applyNumberFormat="1" applyFill="1" applyBorder="1" applyAlignment="1">
      <alignment/>
    </xf>
    <xf numFmtId="167" fontId="18" fillId="24" borderId="33" xfId="45" applyNumberFormat="1" applyFont="1" applyFill="1" applyBorder="1" applyAlignment="1">
      <alignment/>
    </xf>
    <xf numFmtId="167" fontId="18" fillId="24" borderId="34" xfId="45" applyNumberFormat="1" applyFont="1" applyFill="1" applyBorder="1" applyAlignment="1">
      <alignment/>
    </xf>
    <xf numFmtId="0" fontId="0" fillId="21" borderId="31" xfId="0" applyFill="1" applyBorder="1" applyAlignment="1">
      <alignment/>
    </xf>
    <xf numFmtId="0" fontId="0" fillId="21" borderId="0" xfId="0" applyFill="1" applyBorder="1" applyAlignment="1">
      <alignment/>
    </xf>
    <xf numFmtId="0" fontId="0" fillId="24" borderId="31" xfId="0" applyFill="1" applyBorder="1" applyAlignment="1">
      <alignment/>
    </xf>
    <xf numFmtId="0" fontId="21" fillId="24" borderId="35" xfId="0" applyFont="1" applyFill="1" applyBorder="1" applyAlignment="1">
      <alignment horizontal="center"/>
    </xf>
    <xf numFmtId="0" fontId="0" fillId="21" borderId="35" xfId="0" applyFill="1" applyBorder="1" applyAlignment="1">
      <alignment/>
    </xf>
    <xf numFmtId="167" fontId="0" fillId="24" borderId="35" xfId="0" applyNumberFormat="1" applyFill="1" applyBorder="1" applyAlignment="1">
      <alignment/>
    </xf>
    <xf numFmtId="167" fontId="0" fillId="24" borderId="35" xfId="45" applyNumberFormat="1" applyFont="1" applyFill="1" applyBorder="1" applyAlignment="1">
      <alignment/>
    </xf>
    <xf numFmtId="37" fontId="28" fillId="24" borderId="35" xfId="0" applyNumberFormat="1" applyFont="1" applyFill="1" applyBorder="1" applyAlignment="1">
      <alignment/>
    </xf>
    <xf numFmtId="37" fontId="0" fillId="24" borderId="35" xfId="0" applyNumberFormat="1" applyFont="1" applyFill="1" applyBorder="1" applyAlignment="1">
      <alignment/>
    </xf>
    <xf numFmtId="37" fontId="0" fillId="24" borderId="35" xfId="0" applyNumberFormat="1" applyFill="1" applyBorder="1" applyAlignment="1">
      <alignment/>
    </xf>
    <xf numFmtId="167" fontId="18" fillId="24" borderId="36" xfId="45" applyNumberFormat="1" applyFont="1" applyFill="1" applyBorder="1" applyAlignment="1">
      <alignment/>
    </xf>
    <xf numFmtId="0" fontId="18" fillId="24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29" fillId="24" borderId="10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0" fontId="30" fillId="24" borderId="13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 indent="2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right"/>
    </xf>
    <xf numFmtId="37" fontId="30" fillId="24" borderId="0" xfId="0" applyNumberFormat="1" applyFont="1" applyFill="1" applyBorder="1" applyAlignment="1">
      <alignment/>
    </xf>
    <xf numFmtId="0" fontId="30" fillId="24" borderId="13" xfId="0" applyFont="1" applyFill="1" applyBorder="1" applyAlignment="1">
      <alignment horizontal="left"/>
    </xf>
    <xf numFmtId="0" fontId="30" fillId="24" borderId="13" xfId="0" applyFont="1" applyFill="1" applyBorder="1" applyAlignment="1">
      <alignment/>
    </xf>
    <xf numFmtId="44" fontId="30" fillId="24" borderId="0" xfId="0" applyNumberFormat="1" applyFont="1" applyFill="1" applyBorder="1" applyAlignment="1">
      <alignment/>
    </xf>
    <xf numFmtId="0" fontId="30" fillId="24" borderId="13" xfId="0" applyFont="1" applyFill="1" applyBorder="1" applyAlignment="1">
      <alignment/>
    </xf>
    <xf numFmtId="10" fontId="30" fillId="24" borderId="0" xfId="61" applyNumberFormat="1" applyFont="1" applyFill="1" applyBorder="1" applyAlignment="1">
      <alignment/>
    </xf>
    <xf numFmtId="167" fontId="30" fillId="24" borderId="0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0" fontId="30" fillId="24" borderId="11" xfId="0" applyFont="1" applyFill="1" applyBorder="1" applyAlignment="1" quotePrefix="1">
      <alignment horizontal="center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 quotePrefix="1">
      <alignment horizontal="center"/>
    </xf>
    <xf numFmtId="37" fontId="30" fillId="24" borderId="14" xfId="0" applyNumberFormat="1" applyFont="1" applyFill="1" applyBorder="1" applyAlignment="1" quotePrefix="1">
      <alignment/>
    </xf>
    <xf numFmtId="37" fontId="30" fillId="24" borderId="14" xfId="0" applyNumberFormat="1" applyFont="1" applyFill="1" applyBorder="1" applyAlignment="1">
      <alignment/>
    </xf>
    <xf numFmtId="37" fontId="30" fillId="24" borderId="14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/>
    </xf>
    <xf numFmtId="167" fontId="30" fillId="24" borderId="14" xfId="0" applyNumberFormat="1" applyFont="1" applyFill="1" applyBorder="1" applyAlignment="1">
      <alignment/>
    </xf>
    <xf numFmtId="165" fontId="30" fillId="24" borderId="16" xfId="42" applyNumberFormat="1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168" fontId="0" fillId="24" borderId="31" xfId="61" applyNumberFormat="1" applyFont="1" applyFill="1" applyBorder="1" applyAlignment="1">
      <alignment horizontal="center"/>
    </xf>
    <xf numFmtId="168" fontId="0" fillId="24" borderId="0" xfId="61" applyNumberFormat="1" applyFont="1" applyFill="1" applyBorder="1" applyAlignment="1">
      <alignment horizontal="center"/>
    </xf>
    <xf numFmtId="168" fontId="0" fillId="24" borderId="35" xfId="61" applyNumberFormat="1" applyFont="1" applyFill="1" applyBorder="1" applyAlignment="1">
      <alignment horizontal="center"/>
    </xf>
    <xf numFmtId="0" fontId="0" fillId="24" borderId="35" xfId="0" applyFill="1" applyBorder="1" applyAlignment="1">
      <alignment/>
    </xf>
    <xf numFmtId="168" fontId="0" fillId="24" borderId="31" xfId="61" applyNumberFormat="1" applyFont="1" applyFill="1" applyBorder="1" applyAlignment="1">
      <alignment horizontal="center"/>
    </xf>
    <xf numFmtId="168" fontId="0" fillId="24" borderId="0" xfId="61" applyNumberFormat="1" applyFont="1" applyFill="1" applyBorder="1" applyAlignment="1">
      <alignment horizontal="center"/>
    </xf>
    <xf numFmtId="168" fontId="0" fillId="24" borderId="35" xfId="61" applyNumberFormat="1" applyFont="1" applyFill="1" applyBorder="1" applyAlignment="1">
      <alignment horizontal="center"/>
    </xf>
    <xf numFmtId="38" fontId="0" fillId="24" borderId="31" xfId="42" applyNumberFormat="1" applyFont="1" applyFill="1" applyBorder="1" applyAlignment="1">
      <alignment horizontal="center"/>
    </xf>
    <xf numFmtId="38" fontId="0" fillId="24" borderId="0" xfId="61" applyNumberFormat="1" applyFont="1" applyFill="1" applyBorder="1" applyAlignment="1">
      <alignment horizontal="center"/>
    </xf>
    <xf numFmtId="38" fontId="0" fillId="24" borderId="35" xfId="61" applyNumberFormat="1" applyFont="1" applyFill="1" applyBorder="1" applyAlignment="1">
      <alignment horizontal="center"/>
    </xf>
    <xf numFmtId="168" fontId="0" fillId="24" borderId="29" xfId="61" applyNumberFormat="1" applyFont="1" applyFill="1" applyBorder="1" applyAlignment="1">
      <alignment horizontal="center"/>
    </xf>
    <xf numFmtId="168" fontId="0" fillId="24" borderId="30" xfId="61" applyNumberFormat="1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3" fontId="0" fillId="24" borderId="30" xfId="0" applyNumberFormat="1" applyFill="1" applyBorder="1" applyAlignment="1">
      <alignment horizontal="center"/>
    </xf>
    <xf numFmtId="168" fontId="0" fillId="0" borderId="29" xfId="61" applyNumberFormat="1" applyFont="1" applyFill="1" applyBorder="1" applyAlignment="1">
      <alignment horizontal="center"/>
    </xf>
    <xf numFmtId="43" fontId="0" fillId="24" borderId="0" xfId="0" applyNumberFormat="1" applyFill="1" applyAlignment="1">
      <alignment/>
    </xf>
    <xf numFmtId="39" fontId="0" fillId="24" borderId="30" xfId="42" applyNumberFormat="1" applyFont="1" applyFill="1" applyBorder="1" applyAlignment="1">
      <alignment horizontal="center"/>
    </xf>
    <xf numFmtId="39" fontId="0" fillId="24" borderId="29" xfId="42" applyNumberFormat="1" applyFont="1" applyFill="1" applyBorder="1" applyAlignment="1">
      <alignment horizontal="center"/>
    </xf>
    <xf numFmtId="39" fontId="0" fillId="24" borderId="0" xfId="42" applyNumberFormat="1" applyFont="1" applyFill="1" applyBorder="1" applyAlignment="1">
      <alignment horizontal="center"/>
    </xf>
    <xf numFmtId="168" fontId="21" fillId="24" borderId="3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0" fontId="30" fillId="0" borderId="0" xfId="0" applyFont="1" applyBorder="1" applyAlignment="1">
      <alignment/>
    </xf>
    <xf numFmtId="0" fontId="22" fillId="24" borderId="13" xfId="0" applyFont="1" applyFill="1" applyBorder="1" applyAlignment="1">
      <alignment/>
    </xf>
    <xf numFmtId="0" fontId="33" fillId="24" borderId="3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0" fillId="24" borderId="38" xfId="0" applyFont="1" applyFill="1" applyBorder="1" applyAlignment="1">
      <alignment/>
    </xf>
    <xf numFmtId="165" fontId="30" fillId="24" borderId="39" xfId="42" applyNumberFormat="1" applyFont="1" applyFill="1" applyBorder="1" applyAlignment="1">
      <alignment/>
    </xf>
    <xf numFmtId="165" fontId="30" fillId="24" borderId="40" xfId="42" applyNumberFormat="1" applyFont="1" applyFill="1" applyBorder="1" applyAlignment="1">
      <alignment/>
    </xf>
    <xf numFmtId="165" fontId="30" fillId="24" borderId="41" xfId="42" applyNumberFormat="1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30" fillId="0" borderId="27" xfId="0" applyFont="1" applyBorder="1" applyAlignment="1">
      <alignment/>
    </xf>
    <xf numFmtId="165" fontId="30" fillId="24" borderId="27" xfId="42" applyNumberFormat="1" applyFont="1" applyFill="1" applyBorder="1" applyAlignment="1">
      <alignment/>
    </xf>
    <xf numFmtId="0" fontId="30" fillId="24" borderId="27" xfId="0" applyFont="1" applyFill="1" applyBorder="1" applyAlignment="1">
      <alignment/>
    </xf>
    <xf numFmtId="0" fontId="30" fillId="24" borderId="28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165" fontId="30" fillId="24" borderId="11" xfId="42" applyNumberFormat="1" applyFont="1" applyFill="1" applyBorder="1" applyAlignment="1">
      <alignment/>
    </xf>
    <xf numFmtId="0" fontId="35" fillId="0" borderId="0" xfId="57" applyFont="1">
      <alignment/>
      <protection/>
    </xf>
    <xf numFmtId="0" fontId="34" fillId="0" borderId="0" xfId="57" applyFont="1" applyAlignment="1">
      <alignment horizontal="left"/>
      <protection/>
    </xf>
    <xf numFmtId="0" fontId="19" fillId="0" borderId="0" xfId="58" applyFont="1" applyBorder="1" applyAlignment="1">
      <alignment horizontal="center" wrapText="1"/>
      <protection/>
    </xf>
    <xf numFmtId="0" fontId="36" fillId="0" borderId="0" xfId="57" applyFont="1" applyAlignment="1">
      <alignment horizontal="center"/>
      <protection/>
    </xf>
    <xf numFmtId="0" fontId="36" fillId="0" borderId="0" xfId="57" applyFont="1" applyAlignment="1">
      <alignment horizontal="center" wrapText="1"/>
      <protection/>
    </xf>
    <xf numFmtId="0" fontId="37" fillId="0" borderId="0" xfId="57" applyFont="1" applyAlignment="1">
      <alignment horizontal="center" wrapText="1"/>
      <protection/>
    </xf>
    <xf numFmtId="0" fontId="37" fillId="20" borderId="0" xfId="57" applyFont="1" applyFill="1" applyAlignment="1">
      <alignment horizontal="center" wrapText="1"/>
      <protection/>
    </xf>
    <xf numFmtId="0" fontId="37" fillId="0" borderId="0" xfId="57" applyFont="1">
      <alignment/>
      <protection/>
    </xf>
    <xf numFmtId="167" fontId="35" fillId="0" borderId="0" xfId="47" applyNumberFormat="1" applyFont="1" applyAlignment="1">
      <alignment/>
    </xf>
    <xf numFmtId="167" fontId="35" fillId="0" borderId="0" xfId="44" applyNumberFormat="1" applyFont="1" applyAlignment="1">
      <alignment/>
    </xf>
    <xf numFmtId="167" fontId="38" fillId="0" borderId="0" xfId="44" applyNumberFormat="1" applyFont="1" applyAlignment="1">
      <alignment/>
    </xf>
    <xf numFmtId="0" fontId="26" fillId="0" borderId="10" xfId="57" applyFont="1" applyBorder="1">
      <alignment/>
      <protection/>
    </xf>
    <xf numFmtId="167" fontId="26" fillId="0" borderId="11" xfId="47" applyNumberFormat="1" applyFont="1" applyBorder="1" applyAlignment="1">
      <alignment/>
    </xf>
    <xf numFmtId="168" fontId="26" fillId="0" borderId="12" xfId="62" applyNumberFormat="1" applyFont="1" applyBorder="1" applyAlignment="1">
      <alignment/>
    </xf>
    <xf numFmtId="10" fontId="35" fillId="0" borderId="0" xfId="57" applyNumberFormat="1" applyFont="1">
      <alignment/>
      <protection/>
    </xf>
    <xf numFmtId="10" fontId="35" fillId="0" borderId="0" xfId="62" applyNumberFormat="1" applyFont="1" applyAlignment="1">
      <alignment/>
    </xf>
    <xf numFmtId="0" fontId="26" fillId="0" borderId="13" xfId="57" applyFont="1" applyBorder="1">
      <alignment/>
      <protection/>
    </xf>
    <xf numFmtId="167" fontId="37" fillId="0" borderId="0" xfId="47" applyNumberFormat="1" applyFont="1" applyBorder="1" applyAlignment="1">
      <alignment/>
    </xf>
    <xf numFmtId="168" fontId="37" fillId="0" borderId="14" xfId="62" applyNumberFormat="1" applyFont="1" applyBorder="1" applyAlignment="1">
      <alignment/>
    </xf>
    <xf numFmtId="43" fontId="35" fillId="0" borderId="0" xfId="44" applyFont="1" applyAlignment="1">
      <alignment/>
    </xf>
    <xf numFmtId="10" fontId="35" fillId="0" borderId="0" xfId="62" applyNumberFormat="1" applyFont="1" applyFill="1" applyBorder="1" applyAlignment="1">
      <alignment/>
    </xf>
    <xf numFmtId="0" fontId="26" fillId="0" borderId="26" xfId="57" applyFont="1" applyBorder="1">
      <alignment/>
      <protection/>
    </xf>
    <xf numFmtId="167" fontId="26" fillId="0" borderId="27" xfId="47" applyNumberFormat="1" applyFont="1" applyBorder="1" applyAlignment="1">
      <alignment/>
    </xf>
    <xf numFmtId="168" fontId="26" fillId="0" borderId="28" xfId="62" applyNumberFormat="1" applyFont="1" applyBorder="1" applyAlignment="1">
      <alignment/>
    </xf>
    <xf numFmtId="10" fontId="26" fillId="25" borderId="42" xfId="62" applyNumberFormat="1" applyFont="1" applyFill="1" applyBorder="1" applyAlignment="1">
      <alignment/>
    </xf>
    <xf numFmtId="0" fontId="26" fillId="0" borderId="0" xfId="57" applyFont="1" applyAlignment="1">
      <alignment horizontal="center"/>
      <protection/>
    </xf>
    <xf numFmtId="164" fontId="35" fillId="0" borderId="0" xfId="44" applyNumberFormat="1" applyFont="1" applyAlignment="1">
      <alignment/>
    </xf>
    <xf numFmtId="0" fontId="37" fillId="20" borderId="0" xfId="57" applyFont="1" applyFill="1">
      <alignment/>
      <protection/>
    </xf>
    <xf numFmtId="43" fontId="35" fillId="0" borderId="0" xfId="44" applyNumberFormat="1" applyFont="1" applyAlignment="1">
      <alignment/>
    </xf>
    <xf numFmtId="168" fontId="35" fillId="0" borderId="0" xfId="62" applyNumberFormat="1" applyFont="1" applyAlignment="1">
      <alignment/>
    </xf>
    <xf numFmtId="0" fontId="26" fillId="25" borderId="43" xfId="57" applyFont="1" applyFill="1" applyBorder="1">
      <alignment/>
      <protection/>
    </xf>
    <xf numFmtId="10" fontId="26" fillId="25" borderId="44" xfId="62" applyNumberFormat="1" applyFont="1" applyFill="1" applyBorder="1" applyAlignment="1">
      <alignment/>
    </xf>
    <xf numFmtId="0" fontId="39" fillId="0" borderId="0" xfId="57" applyFont="1" applyAlignment="1">
      <alignment horizontal="center"/>
      <protection/>
    </xf>
    <xf numFmtId="164" fontId="39" fillId="0" borderId="0" xfId="44" applyNumberFormat="1" applyFont="1" applyAlignment="1">
      <alignment horizontal="center"/>
    </xf>
    <xf numFmtId="167" fontId="35" fillId="0" borderId="0" xfId="57" applyNumberFormat="1" applyFont="1">
      <alignment/>
      <protection/>
    </xf>
    <xf numFmtId="0" fontId="40" fillId="0" borderId="0" xfId="57" applyFont="1">
      <alignment/>
      <protection/>
    </xf>
    <xf numFmtId="168" fontId="0" fillId="24" borderId="31" xfId="61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0" fillId="24" borderId="45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44" fontId="0" fillId="0" borderId="0" xfId="45" applyFont="1" applyBorder="1" applyAlignment="1">
      <alignment/>
    </xf>
    <xf numFmtId="41" fontId="0" fillId="0" borderId="15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5" xfId="42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7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4" fontId="18" fillId="26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26" borderId="17" xfId="0" applyFont="1" applyFill="1" applyBorder="1" applyAlignment="1">
      <alignment/>
    </xf>
    <xf numFmtId="0" fontId="0" fillId="0" borderId="17" xfId="0" applyBorder="1" applyAlignment="1">
      <alignment/>
    </xf>
    <xf numFmtId="42" fontId="0" fillId="0" borderId="0" xfId="45" applyNumberFormat="1" applyFont="1" applyAlignment="1">
      <alignment/>
    </xf>
    <xf numFmtId="42" fontId="18" fillId="0" borderId="0" xfId="0" applyNumberFormat="1" applyFont="1" applyAlignment="1">
      <alignment/>
    </xf>
    <xf numFmtId="0" fontId="18" fillId="0" borderId="15" xfId="0" applyFont="1" applyBorder="1" applyAlignment="1">
      <alignment/>
    </xf>
    <xf numFmtId="19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48" fillId="0" borderId="17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47" fillId="0" borderId="17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41" fontId="18" fillId="0" borderId="0" xfId="42" applyNumberFormat="1" applyFont="1" applyFill="1" applyBorder="1" applyAlignment="1">
      <alignment/>
    </xf>
    <xf numFmtId="41" fontId="49" fillId="0" borderId="0" xfId="42" applyNumberFormat="1" applyFont="1" applyBorder="1" applyAlignment="1">
      <alignment/>
    </xf>
    <xf numFmtId="0" fontId="49" fillId="0" borderId="0" xfId="0" applyFont="1" applyBorder="1" applyAlignment="1">
      <alignment/>
    </xf>
    <xf numFmtId="41" fontId="49" fillId="0" borderId="0" xfId="42" applyNumberFormat="1" applyFont="1" applyFill="1" applyBorder="1" applyAlignment="1">
      <alignment/>
    </xf>
    <xf numFmtId="41" fontId="18" fillId="0" borderId="18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4" fontId="0" fillId="0" borderId="0" xfId="45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44" fontId="18" fillId="0" borderId="18" xfId="45" applyFont="1" applyFill="1" applyBorder="1" applyAlignment="1">
      <alignment/>
    </xf>
    <xf numFmtId="0" fontId="21" fillId="0" borderId="0" xfId="0" applyFont="1" applyBorder="1" applyAlignment="1">
      <alignment horizontal="center"/>
    </xf>
    <xf numFmtId="44" fontId="18" fillId="0" borderId="0" xfId="45" applyFont="1" applyFill="1" applyBorder="1" applyAlignment="1">
      <alignment/>
    </xf>
    <xf numFmtId="0" fontId="52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5" fontId="0" fillId="0" borderId="0" xfId="42" applyNumberFormat="1" applyAlignment="1">
      <alignment/>
    </xf>
    <xf numFmtId="44" fontId="0" fillId="0" borderId="0" xfId="0" applyNumberFormat="1" applyBorder="1" applyAlignment="1">
      <alignment/>
    </xf>
    <xf numFmtId="44" fontId="0" fillId="25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 horizontal="center"/>
    </xf>
    <xf numFmtId="44" fontId="0" fillId="0" borderId="0" xfId="45" applyAlignment="1">
      <alignment/>
    </xf>
    <xf numFmtId="0" fontId="21" fillId="0" borderId="0" xfId="0" applyFont="1" applyAlignment="1">
      <alignment horizontal="center"/>
    </xf>
    <xf numFmtId="9" fontId="0" fillId="0" borderId="0" xfId="61" applyAlignment="1">
      <alignment/>
    </xf>
    <xf numFmtId="168" fontId="0" fillId="0" borderId="0" xfId="61" applyNumberFormat="1" applyAlignment="1">
      <alignment/>
    </xf>
    <xf numFmtId="168" fontId="18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4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0" fillId="0" borderId="46" xfId="0" applyFont="1" applyBorder="1" applyAlignment="1">
      <alignment horizontal="left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horizontal="left"/>
    </xf>
    <xf numFmtId="0" fontId="51" fillId="0" borderId="0" xfId="0" applyFont="1" applyBorder="1" applyAlignment="1">
      <alignment horizontal="center" wrapText="1"/>
    </xf>
    <xf numFmtId="0" fontId="51" fillId="0" borderId="47" xfId="0" applyFont="1" applyFill="1" applyBorder="1" applyAlignment="1">
      <alignment horizontal="center" wrapText="1"/>
    </xf>
    <xf numFmtId="0" fontId="51" fillId="0" borderId="47" xfId="0" applyFont="1" applyFill="1" applyBorder="1" applyAlignment="1">
      <alignment horizontal="center"/>
    </xf>
    <xf numFmtId="168" fontId="50" fillId="0" borderId="0" xfId="61" applyNumberFormat="1" applyFont="1" applyFill="1" applyBorder="1" applyAlignment="1">
      <alignment horizontal="center" wrapText="1"/>
    </xf>
    <xf numFmtId="168" fontId="50" fillId="0" borderId="0" xfId="61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10" fontId="0" fillId="0" borderId="0" xfId="0" applyNumberFormat="1" applyAlignment="1">
      <alignment horizontal="left"/>
    </xf>
    <xf numFmtId="168" fontId="0" fillId="0" borderId="0" xfId="61" applyNumberFormat="1" applyAlignment="1">
      <alignment horizontal="left"/>
    </xf>
    <xf numFmtId="0" fontId="50" fillId="0" borderId="43" xfId="0" applyFont="1" applyFill="1" applyBorder="1" applyAlignment="1">
      <alignment horizontal="left"/>
    </xf>
    <xf numFmtId="168" fontId="50" fillId="0" borderId="48" xfId="61" applyNumberFormat="1" applyFont="1" applyFill="1" applyBorder="1" applyAlignment="1">
      <alignment horizontal="center" wrapText="1"/>
    </xf>
    <xf numFmtId="168" fontId="50" fillId="0" borderId="48" xfId="61" applyNumberFormat="1" applyFont="1" applyFill="1" applyBorder="1" applyAlignment="1">
      <alignment horizontal="center"/>
    </xf>
    <xf numFmtId="168" fontId="50" fillId="0" borderId="44" xfId="61" applyNumberFormat="1" applyFont="1" applyFill="1" applyBorder="1" applyAlignment="1">
      <alignment horizontal="center" wrapText="1"/>
    </xf>
    <xf numFmtId="168" fontId="0" fillId="0" borderId="0" xfId="0" applyNumberFormat="1" applyAlignment="1">
      <alignment horizontal="left"/>
    </xf>
    <xf numFmtId="0" fontId="21" fillId="0" borderId="0" xfId="0" applyFont="1" applyAlignment="1">
      <alignment/>
    </xf>
    <xf numFmtId="167" fontId="30" fillId="24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65" fontId="0" fillId="0" borderId="15" xfId="42" applyNumberFormat="1" applyBorder="1" applyAlignment="1">
      <alignment/>
    </xf>
    <xf numFmtId="44" fontId="48" fillId="0" borderId="17" xfId="45" applyFont="1" applyBorder="1" applyAlignment="1">
      <alignment/>
    </xf>
    <xf numFmtId="165" fontId="0" fillId="0" borderId="0" xfId="42" applyNumberFormat="1" applyBorder="1" applyAlignment="1">
      <alignment/>
    </xf>
    <xf numFmtId="165" fontId="18" fillId="0" borderId="15" xfId="42" applyNumberFormat="1" applyFont="1" applyBorder="1" applyAlignment="1">
      <alignment/>
    </xf>
    <xf numFmtId="0" fontId="0" fillId="25" borderId="0" xfId="0" applyFill="1" applyAlignment="1">
      <alignment/>
    </xf>
    <xf numFmtId="41" fontId="0" fillId="25" borderId="0" xfId="42" applyNumberFormat="1" applyFont="1" applyFill="1" applyAlignment="1">
      <alignment/>
    </xf>
    <xf numFmtId="3" fontId="18" fillId="0" borderId="0" xfId="0" applyNumberFormat="1" applyFont="1" applyAlignment="1">
      <alignment/>
    </xf>
    <xf numFmtId="42" fontId="18" fillId="7" borderId="49" xfId="45" applyNumberFormat="1" applyFont="1" applyFill="1" applyBorder="1" applyAlignment="1">
      <alignment/>
    </xf>
    <xf numFmtId="167" fontId="33" fillId="25" borderId="50" xfId="45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left"/>
    </xf>
    <xf numFmtId="0" fontId="0" fillId="0" borderId="0" xfId="0" applyAlignment="1">
      <alignment/>
    </xf>
    <xf numFmtId="0" fontId="26" fillId="21" borderId="51" xfId="0" applyFont="1" applyFill="1" applyBorder="1" applyAlignment="1">
      <alignment horizontal="center"/>
    </xf>
    <xf numFmtId="0" fontId="26" fillId="21" borderId="52" xfId="0" applyFont="1" applyFill="1" applyBorder="1" applyAlignment="1">
      <alignment horizontal="center"/>
    </xf>
    <xf numFmtId="0" fontId="26" fillId="21" borderId="53" xfId="0" applyFont="1" applyFill="1" applyBorder="1" applyAlignment="1">
      <alignment horizontal="center"/>
    </xf>
    <xf numFmtId="0" fontId="26" fillId="21" borderId="54" xfId="0" applyFont="1" applyFill="1" applyBorder="1" applyAlignment="1">
      <alignment horizontal="center"/>
    </xf>
    <xf numFmtId="0" fontId="26" fillId="21" borderId="55" xfId="0" applyFont="1" applyFill="1" applyBorder="1" applyAlignment="1">
      <alignment horizontal="center"/>
    </xf>
    <xf numFmtId="0" fontId="26" fillId="21" borderId="56" xfId="0" applyFont="1" applyFill="1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0" borderId="0" xfId="57" applyFont="1" applyFill="1" applyAlignment="1">
      <alignment horizontal="center"/>
      <protection/>
    </xf>
    <xf numFmtId="0" fontId="1" fillId="0" borderId="0" xfId="57" applyAlignment="1">
      <alignment horizontal="center"/>
      <protection/>
    </xf>
    <xf numFmtId="3" fontId="0" fillId="25" borderId="0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FIN620 Unit 1 IP Patrick Sau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11</xdr:row>
      <xdr:rowOff>47625</xdr:rowOff>
    </xdr:from>
    <xdr:to>
      <xdr:col>8</xdr:col>
      <xdr:colOff>428625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85950"/>
          <a:ext cx="323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17</xdr:row>
      <xdr:rowOff>104775</xdr:rowOff>
    </xdr:from>
    <xdr:to>
      <xdr:col>8</xdr:col>
      <xdr:colOff>733425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762625" y="2914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6</xdr:row>
      <xdr:rowOff>28575</xdr:rowOff>
    </xdr:from>
    <xdr:to>
      <xdr:col>8</xdr:col>
      <xdr:colOff>9525</xdr:colOff>
      <xdr:row>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819650" y="1314450"/>
          <a:ext cx="41243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 that key input amounts are linked to the WMT - Bal. Sht. Tab, that is where a formula does not exist. I manually linked up the amounts to the WMT balance sheet to ensure accuracy.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7"/>
  <sheetViews>
    <sheetView zoomScale="85" zoomScaleNormal="85" workbookViewId="0" topLeftCell="A1">
      <selection activeCell="E48" sqref="E48"/>
    </sheetView>
  </sheetViews>
  <sheetFormatPr defaultColWidth="9.140625" defaultRowHeight="12.75"/>
  <cols>
    <col min="1" max="1" width="1.57421875" style="0" customWidth="1"/>
    <col min="2" max="2" width="12.28125" style="0" customWidth="1"/>
    <col min="3" max="3" width="11.8515625" style="0" bestFit="1" customWidth="1"/>
    <col min="5" max="5" width="11.28125" style="0" bestFit="1" customWidth="1"/>
    <col min="7" max="7" width="11.7109375" style="0" bestFit="1" customWidth="1"/>
    <col min="8" max="8" width="17.00390625" style="0" bestFit="1" customWidth="1"/>
    <col min="9" max="9" width="14.140625" style="0" bestFit="1" customWidth="1"/>
    <col min="10" max="10" width="15.28125" style="0" customWidth="1"/>
    <col min="11" max="11" width="13.8515625" style="0" customWidth="1"/>
    <col min="12" max="12" width="11.8515625" style="0" customWidth="1"/>
  </cols>
  <sheetData>
    <row r="2" spans="3:10" ht="15.75">
      <c r="C2" s="249" t="s">
        <v>306</v>
      </c>
      <c r="D2" s="223"/>
      <c r="E2" s="223"/>
      <c r="F2" s="223"/>
      <c r="G2" s="223"/>
      <c r="H2" s="223"/>
      <c r="I2" s="223"/>
      <c r="J2" s="223"/>
    </row>
    <row r="4" ht="12.75">
      <c r="B4" t="s">
        <v>218</v>
      </c>
    </row>
    <row r="7" spans="2:9" ht="13.5" thickBot="1">
      <c r="B7" s="250" t="s">
        <v>220</v>
      </c>
      <c r="C7" s="250"/>
      <c r="D7" s="250"/>
      <c r="E7" s="250"/>
      <c r="F7" s="250"/>
      <c r="G7" s="250"/>
      <c r="H7" s="251" t="s">
        <v>221</v>
      </c>
      <c r="I7" s="252"/>
    </row>
    <row r="8" ht="13.5" thickTop="1"/>
    <row r="9" spans="2:8" ht="12.75">
      <c r="B9" t="s">
        <v>222</v>
      </c>
      <c r="H9" s="253">
        <f>'WMT FCF Forecast'!C41</f>
        <v>1315038</v>
      </c>
    </row>
    <row r="10" spans="2:8" ht="12.75">
      <c r="B10" t="s">
        <v>223</v>
      </c>
      <c r="G10" t="s">
        <v>217</v>
      </c>
      <c r="H10" s="235">
        <f>-'WMT Forcast - to be granted ESO'!C38</f>
        <v>-15387194187.500149</v>
      </c>
    </row>
    <row r="11" spans="2:8" ht="12.75">
      <c r="B11" t="s">
        <v>8</v>
      </c>
      <c r="H11" s="254">
        <f>SUM(H9:H10)</f>
        <v>-15385879149.500149</v>
      </c>
    </row>
    <row r="12" spans="2:8" ht="12.75">
      <c r="B12" s="221" t="s">
        <v>14</v>
      </c>
      <c r="H12" s="284">
        <f>'Econ vs. GAAP Bal. Sht.'!E18</f>
        <v>1506</v>
      </c>
    </row>
    <row r="13" spans="2:8" ht="12.75">
      <c r="B13" s="221" t="s">
        <v>15</v>
      </c>
      <c r="H13" s="284">
        <f>'Econ vs. GAAP Bal. Sht.'!E19</f>
        <v>5848</v>
      </c>
    </row>
    <row r="14" spans="2:10" ht="12.75">
      <c r="B14" s="221" t="s">
        <v>16</v>
      </c>
      <c r="H14" s="284">
        <f>'Econ vs. GAAP Bal. Sht.'!E20</f>
        <v>315</v>
      </c>
      <c r="J14" s="222" t="s">
        <v>211</v>
      </c>
    </row>
    <row r="15" spans="2:8" ht="12.75">
      <c r="B15" s="221" t="s">
        <v>17</v>
      </c>
      <c r="H15" s="284">
        <f>'Econ vs. GAAP Bal. Sht.'!E21</f>
        <v>31349</v>
      </c>
    </row>
    <row r="16" spans="2:8" ht="12.75">
      <c r="B16" s="221" t="s">
        <v>18</v>
      </c>
      <c r="H16" s="322">
        <f>'Econ vs. GAAP Bal. Sht.'!E22</f>
        <v>3200</v>
      </c>
    </row>
    <row r="17" spans="2:8" ht="12.75">
      <c r="B17" t="s">
        <v>224</v>
      </c>
      <c r="H17" s="254">
        <f>SUM(H11:H16)</f>
        <v>-15385836931.500149</v>
      </c>
    </row>
    <row r="18" spans="2:10" ht="12.75">
      <c r="B18" t="s">
        <v>225</v>
      </c>
      <c r="H18" s="322">
        <f>-'Econ vs. GAAP Bal. Sht.'!E42</f>
        <v>-5554.853095339859</v>
      </c>
      <c r="J18" s="222" t="s">
        <v>211</v>
      </c>
    </row>
    <row r="19" spans="2:8" ht="12.75">
      <c r="B19" t="s">
        <v>224</v>
      </c>
      <c r="H19" s="233">
        <f>SUM(H17:H18)</f>
        <v>-15385842486.353245</v>
      </c>
    </row>
    <row r="20" spans="2:8" ht="12.75">
      <c r="B20" s="247" t="s">
        <v>208</v>
      </c>
      <c r="C20" s="247"/>
      <c r="D20" s="247"/>
      <c r="E20" s="247"/>
      <c r="F20" s="247"/>
      <c r="G20" s="247"/>
      <c r="H20" s="255">
        <v>0</v>
      </c>
    </row>
    <row r="21" spans="2:8" ht="12.75">
      <c r="B21" t="s">
        <v>226</v>
      </c>
      <c r="H21" s="246">
        <f>SUM(H19:H20)</f>
        <v>-15385842486.353245</v>
      </c>
    </row>
    <row r="22" spans="2:8" ht="12.75">
      <c r="B22" t="s">
        <v>227</v>
      </c>
      <c r="H22" s="246">
        <f>'WMT Marginal Tax Rate tESO'!G29</f>
        <v>48722000</v>
      </c>
    </row>
    <row r="23" spans="2:8" ht="13.5" thickBot="1">
      <c r="B23" t="s">
        <v>228</v>
      </c>
      <c r="H23" s="323">
        <f>(H21/H22)*1000000</f>
        <v>-315788401.26335627</v>
      </c>
    </row>
    <row r="24" spans="2:12" ht="13.5" thickTop="1">
      <c r="B24" s="326"/>
      <c r="C24" s="326" t="s">
        <v>229</v>
      </c>
      <c r="D24" s="326"/>
      <c r="E24" s="326"/>
      <c r="F24" s="326"/>
      <c r="G24" s="326"/>
      <c r="H24" s="326"/>
      <c r="I24" s="326"/>
      <c r="J24" s="326"/>
      <c r="K24" s="326"/>
      <c r="L24" s="326"/>
    </row>
    <row r="25" spans="2:12" ht="12.75">
      <c r="B25" s="326" t="s">
        <v>230</v>
      </c>
      <c r="C25" s="326"/>
      <c r="D25" s="326"/>
      <c r="E25" s="326"/>
      <c r="F25" s="326"/>
      <c r="G25" s="326"/>
      <c r="H25" s="326" t="s">
        <v>231</v>
      </c>
      <c r="I25" s="326" t="s">
        <v>232</v>
      </c>
      <c r="J25" s="326" t="s">
        <v>233</v>
      </c>
      <c r="K25" s="326" t="s">
        <v>234</v>
      </c>
      <c r="L25" s="326" t="s">
        <v>235</v>
      </c>
    </row>
    <row r="26" spans="2:12" ht="12.75">
      <c r="B26" s="326" t="s">
        <v>236</v>
      </c>
      <c r="C26" s="326"/>
      <c r="D26" s="326"/>
      <c r="E26" s="326"/>
      <c r="F26" s="326"/>
      <c r="G26" s="326"/>
      <c r="H26" s="327">
        <v>23316322</v>
      </c>
      <c r="I26" s="327">
        <v>15231021</v>
      </c>
      <c r="J26" s="327">
        <v>549522</v>
      </c>
      <c r="K26" s="327">
        <v>3132598</v>
      </c>
      <c r="L26" s="327">
        <v>13504</v>
      </c>
    </row>
    <row r="27" spans="2:12" ht="12.75">
      <c r="B27" s="326" t="s">
        <v>237</v>
      </c>
      <c r="C27" s="326"/>
      <c r="D27" s="326"/>
      <c r="E27" s="326"/>
      <c r="F27" s="326"/>
      <c r="G27" s="326"/>
      <c r="H27" s="326">
        <v>6.62</v>
      </c>
      <c r="I27" s="326">
        <v>15.72</v>
      </c>
      <c r="J27" s="326">
        <v>37.96</v>
      </c>
      <c r="K27" s="326">
        <v>47.47</v>
      </c>
      <c r="L27" s="326">
        <v>50.8</v>
      </c>
    </row>
    <row r="28" spans="2:12" ht="12.75">
      <c r="B28" s="326" t="s">
        <v>238</v>
      </c>
      <c r="C28" s="326"/>
      <c r="D28" s="326"/>
      <c r="E28" s="326"/>
      <c r="F28" s="326"/>
      <c r="G28" s="326"/>
      <c r="H28" s="326">
        <v>4.2</v>
      </c>
      <c r="I28" s="326">
        <v>8.2</v>
      </c>
      <c r="J28" s="326">
        <v>9.5</v>
      </c>
      <c r="K28" s="326">
        <v>9.8</v>
      </c>
      <c r="L28" s="326">
        <v>9.7</v>
      </c>
    </row>
    <row r="29" spans="2:12" ht="12.75">
      <c r="B29" s="326" t="s">
        <v>239</v>
      </c>
      <c r="C29" s="326"/>
      <c r="D29" s="326"/>
      <c r="E29" s="326"/>
      <c r="F29" s="326"/>
      <c r="G29" s="326"/>
      <c r="H29" s="326">
        <v>0.45</v>
      </c>
      <c r="I29" s="326">
        <v>0.45</v>
      </c>
      <c r="J29" s="326">
        <v>0.45</v>
      </c>
      <c r="K29" s="326">
        <v>0.45</v>
      </c>
      <c r="L29" s="326">
        <v>0.45</v>
      </c>
    </row>
    <row r="30" spans="2:12" ht="12.75">
      <c r="B30" s="326" t="s">
        <v>240</v>
      </c>
      <c r="C30" s="326"/>
      <c r="D30" s="326"/>
      <c r="E30" s="326"/>
      <c r="F30" s="326"/>
      <c r="G30" s="326"/>
      <c r="H30" s="326">
        <v>0.043</v>
      </c>
      <c r="I30" s="326">
        <v>0.043</v>
      </c>
      <c r="J30" s="326">
        <v>0.043</v>
      </c>
      <c r="K30" s="326">
        <v>0.043</v>
      </c>
      <c r="L30" s="326">
        <v>0.043</v>
      </c>
    </row>
    <row r="31" spans="2:12" ht="12.75">
      <c r="B31" s="326" t="s">
        <v>241</v>
      </c>
      <c r="C31" s="326"/>
      <c r="D31" s="326"/>
      <c r="E31" s="326"/>
      <c r="F31" s="326"/>
      <c r="G31" s="326"/>
      <c r="H31" s="326">
        <v>5.78</v>
      </c>
      <c r="I31" s="326">
        <v>4.68</v>
      </c>
      <c r="J31" s="326">
        <v>5.98</v>
      </c>
      <c r="K31" s="326">
        <v>5.38</v>
      </c>
      <c r="L31" s="326">
        <v>5.2</v>
      </c>
    </row>
    <row r="32" spans="2:12" ht="12.75">
      <c r="B32" s="326" t="s">
        <v>242</v>
      </c>
      <c r="C32" s="326"/>
      <c r="D32" s="326"/>
      <c r="E32" s="326"/>
      <c r="F32" s="326"/>
      <c r="G32" s="326"/>
      <c r="H32" s="326">
        <v>0.24</v>
      </c>
      <c r="I32" s="326">
        <v>0.22</v>
      </c>
      <c r="J32" s="326">
        <v>0.22</v>
      </c>
      <c r="K32" s="326">
        <v>0.22</v>
      </c>
      <c r="L32" s="326">
        <v>0.22</v>
      </c>
    </row>
    <row r="33" spans="2:12" ht="12.75">
      <c r="B33" t="s">
        <v>243</v>
      </c>
      <c r="H33" s="256">
        <f>H31-(H31*H32)</f>
        <v>4.3928</v>
      </c>
      <c r="I33" s="256">
        <f>I31-(I31*I32)</f>
        <v>3.6504</v>
      </c>
      <c r="J33" s="256">
        <f>J31-(J31*J32)</f>
        <v>4.6644000000000005</v>
      </c>
      <c r="K33" s="256">
        <f>K31-(K31*K32)</f>
        <v>4.1964</v>
      </c>
      <c r="L33" s="256">
        <f>L31-(L31*L32)</f>
        <v>4.056</v>
      </c>
    </row>
    <row r="34" spans="2:12" ht="12.75">
      <c r="B34" t="s">
        <v>244</v>
      </c>
      <c r="H34" s="257">
        <f>H26*H33</f>
        <v>102423939.28160001</v>
      </c>
      <c r="I34" s="257">
        <f>I26*I33</f>
        <v>55599319.0584</v>
      </c>
      <c r="J34" s="257">
        <f>J26*J33</f>
        <v>2563190.4168000002</v>
      </c>
      <c r="K34" s="257">
        <f>K26*K33</f>
        <v>13145634.2472</v>
      </c>
      <c r="L34" s="257">
        <f>L26*L33</f>
        <v>54772.224</v>
      </c>
    </row>
    <row r="35" spans="2:8" ht="13.5" thickBot="1">
      <c r="B35" s="247" t="s">
        <v>245</v>
      </c>
      <c r="C35" s="247"/>
      <c r="D35" s="247"/>
      <c r="E35" s="247"/>
      <c r="F35" s="247"/>
      <c r="G35" s="247"/>
      <c r="H35" s="258">
        <f>H34+I34+I34+K34+L34</f>
        <v>226822983.86960003</v>
      </c>
    </row>
    <row r="36" ht="13.5" thickTop="1">
      <c r="H36" s="259"/>
    </row>
    <row r="37" spans="2:8" ht="12.75">
      <c r="B37" s="247" t="s">
        <v>246</v>
      </c>
      <c r="H37" s="328">
        <f>H35</f>
        <v>226822983.86960003</v>
      </c>
    </row>
    <row r="38" ht="12.75">
      <c r="I38" t="s">
        <v>217</v>
      </c>
    </row>
    <row r="40" spans="2:9" ht="13.5" thickBot="1">
      <c r="B40" s="250" t="s">
        <v>220</v>
      </c>
      <c r="C40" s="250"/>
      <c r="D40" s="250"/>
      <c r="E40" s="250"/>
      <c r="F40" s="250"/>
      <c r="G40" s="250"/>
      <c r="H40" s="251" t="s">
        <v>247</v>
      </c>
      <c r="I40" s="252"/>
    </row>
    <row r="41" ht="13.5" thickTop="1"/>
    <row r="42" spans="2:8" ht="12.75">
      <c r="B42" t="s">
        <v>222</v>
      </c>
      <c r="H42" s="253">
        <f>H9</f>
        <v>1315038</v>
      </c>
    </row>
    <row r="43" spans="2:8" ht="12.75">
      <c r="B43" t="s">
        <v>223</v>
      </c>
      <c r="G43" t="s">
        <v>217</v>
      </c>
      <c r="H43" s="235">
        <f>H10</f>
        <v>-15387194187.500149</v>
      </c>
    </row>
    <row r="44" spans="2:8" ht="12.75">
      <c r="B44" t="s">
        <v>8</v>
      </c>
      <c r="H44" s="254">
        <f>SUM(H42:H43)</f>
        <v>-15385879149.500149</v>
      </c>
    </row>
    <row r="45" spans="2:8" ht="12.75">
      <c r="B45" s="221" t="s">
        <v>14</v>
      </c>
      <c r="H45" s="284">
        <f>H12</f>
        <v>1506</v>
      </c>
    </row>
    <row r="46" spans="2:8" ht="12.75">
      <c r="B46" s="221" t="s">
        <v>15</v>
      </c>
      <c r="H46" s="284">
        <f>H13</f>
        <v>5848</v>
      </c>
    </row>
    <row r="47" spans="2:8" ht="12.75">
      <c r="B47" s="221" t="s">
        <v>16</v>
      </c>
      <c r="H47" s="284">
        <f>H14</f>
        <v>315</v>
      </c>
    </row>
    <row r="48" spans="2:8" ht="12.75">
      <c r="B48" s="221" t="s">
        <v>17</v>
      </c>
      <c r="H48" s="284">
        <f>H15</f>
        <v>31349</v>
      </c>
    </row>
    <row r="49" spans="2:8" ht="12.75">
      <c r="B49" s="221" t="s">
        <v>18</v>
      </c>
      <c r="H49" s="322">
        <f>H16</f>
        <v>3200</v>
      </c>
    </row>
    <row r="50" spans="2:8" ht="12.75">
      <c r="B50" t="s">
        <v>224</v>
      </c>
      <c r="H50" s="254">
        <f>SUM(H44:H49)</f>
        <v>-15385836931.500149</v>
      </c>
    </row>
    <row r="51" spans="2:8" ht="12.75">
      <c r="B51" t="s">
        <v>225</v>
      </c>
      <c r="H51" s="322">
        <v>0</v>
      </c>
    </row>
    <row r="52" spans="2:8" ht="12.75">
      <c r="B52" t="s">
        <v>224</v>
      </c>
      <c r="H52" s="324">
        <f>SUM(H50:H51)</f>
        <v>-15385836931.500149</v>
      </c>
    </row>
    <row r="53" spans="2:8" ht="12.75">
      <c r="B53" t="s">
        <v>208</v>
      </c>
      <c r="H53" s="325">
        <f>H37</f>
        <v>226822983.86960003</v>
      </c>
    </row>
    <row r="54" spans="2:8" ht="12.75">
      <c r="B54" t="s">
        <v>226</v>
      </c>
      <c r="H54" s="246">
        <f>H52+H53</f>
        <v>-15159013947.630548</v>
      </c>
    </row>
    <row r="55" spans="2:8" ht="12.75">
      <c r="B55" t="s">
        <v>227</v>
      </c>
      <c r="H55" s="246">
        <f>H22</f>
        <v>48722000</v>
      </c>
    </row>
    <row r="56" spans="2:8" ht="13.5" thickBot="1">
      <c r="B56" t="s">
        <v>228</v>
      </c>
      <c r="H56" s="323">
        <f>(H54/H55)*1000000</f>
        <v>-311132834.1946256</v>
      </c>
    </row>
    <row r="57" spans="2:12" ht="13.5" thickTop="1">
      <c r="B57" s="326"/>
      <c r="C57" s="326" t="s">
        <v>229</v>
      </c>
      <c r="D57" s="326"/>
      <c r="E57" s="326"/>
      <c r="F57" s="326"/>
      <c r="G57" s="326"/>
      <c r="H57" s="326"/>
      <c r="I57" s="326"/>
      <c r="J57" s="326"/>
      <c r="K57" s="326"/>
      <c r="L57" s="326"/>
    </row>
    <row r="58" spans="2:12" ht="12.75">
      <c r="B58" s="326" t="s">
        <v>230</v>
      </c>
      <c r="C58" s="326"/>
      <c r="D58" s="326"/>
      <c r="E58" s="326"/>
      <c r="F58" s="326"/>
      <c r="G58" s="326"/>
      <c r="H58" s="326" t="s">
        <v>231</v>
      </c>
      <c r="I58" s="326" t="s">
        <v>232</v>
      </c>
      <c r="J58" s="326" t="s">
        <v>233</v>
      </c>
      <c r="K58" s="326" t="s">
        <v>234</v>
      </c>
      <c r="L58" s="326" t="s">
        <v>235</v>
      </c>
    </row>
    <row r="59" spans="2:12" ht="12.75">
      <c r="B59" s="326" t="s">
        <v>236</v>
      </c>
      <c r="C59" s="326"/>
      <c r="D59" s="326"/>
      <c r="E59" s="326"/>
      <c r="F59" s="326"/>
      <c r="G59" s="326"/>
      <c r="H59" s="327">
        <v>23316322</v>
      </c>
      <c r="I59" s="327">
        <v>15231021</v>
      </c>
      <c r="J59" s="327">
        <v>549522</v>
      </c>
      <c r="K59" s="327">
        <v>3132598</v>
      </c>
      <c r="L59" s="327">
        <v>13504</v>
      </c>
    </row>
    <row r="60" spans="2:12" ht="12.75">
      <c r="B60" s="326" t="s">
        <v>237</v>
      </c>
      <c r="C60" s="326"/>
      <c r="D60" s="326"/>
      <c r="E60" s="326"/>
      <c r="F60" s="326"/>
      <c r="G60" s="326"/>
      <c r="H60" s="326">
        <v>6.62</v>
      </c>
      <c r="I60" s="326">
        <v>15.72</v>
      </c>
      <c r="J60" s="326">
        <v>37.96</v>
      </c>
      <c r="K60" s="326">
        <v>47.47</v>
      </c>
      <c r="L60" s="326">
        <v>50.8</v>
      </c>
    </row>
    <row r="61" spans="2:12" ht="12.75">
      <c r="B61" s="326" t="s">
        <v>238</v>
      </c>
      <c r="C61" s="326"/>
      <c r="D61" s="326"/>
      <c r="E61" s="326"/>
      <c r="F61" s="326"/>
      <c r="G61" s="326"/>
      <c r="H61" s="326">
        <v>4.2</v>
      </c>
      <c r="I61" s="326">
        <v>8.2</v>
      </c>
      <c r="J61" s="326">
        <v>9.5</v>
      </c>
      <c r="K61" s="326">
        <v>9.8</v>
      </c>
      <c r="L61" s="326">
        <v>9.7</v>
      </c>
    </row>
    <row r="62" spans="2:12" ht="12.75">
      <c r="B62" s="326" t="s">
        <v>239</v>
      </c>
      <c r="C62" s="326"/>
      <c r="D62" s="326"/>
      <c r="E62" s="326"/>
      <c r="F62" s="326"/>
      <c r="G62" s="326"/>
      <c r="H62" s="326">
        <v>0.45</v>
      </c>
      <c r="I62" s="326">
        <v>0.45</v>
      </c>
      <c r="J62" s="326">
        <v>0.45</v>
      </c>
      <c r="K62" s="326">
        <v>0.45</v>
      </c>
      <c r="L62" s="326">
        <v>0.45</v>
      </c>
    </row>
    <row r="63" spans="2:12" ht="12.75">
      <c r="B63" s="326" t="s">
        <v>240</v>
      </c>
      <c r="C63" s="326"/>
      <c r="D63" s="326"/>
      <c r="E63" s="326"/>
      <c r="F63" s="326"/>
      <c r="G63" s="326"/>
      <c r="H63" s="326">
        <v>0.043</v>
      </c>
      <c r="I63" s="326">
        <v>0.043</v>
      </c>
      <c r="J63" s="326">
        <v>0.043</v>
      </c>
      <c r="K63" s="326">
        <v>0.043</v>
      </c>
      <c r="L63" s="326">
        <v>0.043</v>
      </c>
    </row>
    <row r="64" spans="2:12" ht="12.75">
      <c r="B64" s="326" t="s">
        <v>241</v>
      </c>
      <c r="C64" s="326"/>
      <c r="D64" s="326"/>
      <c r="E64" s="326"/>
      <c r="F64" s="326"/>
      <c r="G64" s="326"/>
      <c r="H64" s="326">
        <v>5.28</v>
      </c>
      <c r="I64" s="326">
        <v>4.3</v>
      </c>
      <c r="J64" s="326">
        <v>5.48</v>
      </c>
      <c r="K64" s="326">
        <v>4.91</v>
      </c>
      <c r="L64" s="326">
        <v>4.85</v>
      </c>
    </row>
    <row r="65" spans="2:12" ht="12.75">
      <c r="B65" s="326" t="s">
        <v>242</v>
      </c>
      <c r="C65" s="326"/>
      <c r="D65" s="326"/>
      <c r="E65" s="326"/>
      <c r="F65" s="326"/>
      <c r="G65" s="326"/>
      <c r="H65" s="326">
        <v>0.24</v>
      </c>
      <c r="I65" s="326">
        <v>0.22</v>
      </c>
      <c r="J65" s="326">
        <v>0.22</v>
      </c>
      <c r="K65" s="326">
        <v>0.22</v>
      </c>
      <c r="L65" s="326">
        <v>0.22</v>
      </c>
    </row>
    <row r="66" spans="2:12" ht="12.75">
      <c r="B66" t="s">
        <v>243</v>
      </c>
      <c r="H66" s="256">
        <f>H64-(H64*H65)</f>
        <v>4.0128</v>
      </c>
      <c r="I66" s="256">
        <f>I64-(I64*I65)</f>
        <v>3.354</v>
      </c>
      <c r="J66" s="256">
        <f>J64-(J64*J65)</f>
        <v>4.2744</v>
      </c>
      <c r="K66" s="256">
        <f>K64-(K64*K65)</f>
        <v>3.8298</v>
      </c>
      <c r="L66" s="256">
        <f>L64-(L64*L65)</f>
        <v>3.7829999999999995</v>
      </c>
    </row>
    <row r="67" spans="2:12" ht="12.75">
      <c r="B67" t="s">
        <v>244</v>
      </c>
      <c r="H67" s="257">
        <f>H59*H66</f>
        <v>93563736.92160001</v>
      </c>
      <c r="I67" s="257">
        <f>I59*I66</f>
        <v>51084844.434</v>
      </c>
      <c r="J67" s="257">
        <f>J59*J66</f>
        <v>2348876.8368</v>
      </c>
      <c r="K67" s="257">
        <f>K59*K66</f>
        <v>11997223.8204</v>
      </c>
      <c r="L67" s="257">
        <f>L59*L66</f>
        <v>51085.63199999999</v>
      </c>
    </row>
    <row r="68" spans="2:8" ht="13.5" thickBot="1">
      <c r="B68" t="s">
        <v>245</v>
      </c>
      <c r="H68" s="260">
        <f>H67+I67+I67+K67+L67</f>
        <v>207781735.242</v>
      </c>
    </row>
    <row r="69" ht="13.5" thickTop="1">
      <c r="H69" s="259"/>
    </row>
    <row r="70" spans="2:8" ht="12.75">
      <c r="B70" s="247" t="s">
        <v>246</v>
      </c>
      <c r="H70" s="328">
        <f>H68</f>
        <v>207781735.242</v>
      </c>
    </row>
    <row r="71" ht="12.75">
      <c r="I71" t="s">
        <v>217</v>
      </c>
    </row>
    <row r="74" ht="12.75">
      <c r="B74" s="261"/>
    </row>
    <row r="77" ht="12.75">
      <c r="B77" s="24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zoomScale="75" zoomScaleNormal="75" workbookViewId="0" topLeftCell="A1">
      <selection activeCell="C34" sqref="C34"/>
    </sheetView>
  </sheetViews>
  <sheetFormatPr defaultColWidth="9.140625" defaultRowHeight="12.75"/>
  <cols>
    <col min="1" max="1" width="1.8515625" style="0" customWidth="1"/>
    <col min="2" max="2" width="30.140625" style="0" customWidth="1"/>
    <col min="3" max="3" width="18.421875" style="0" customWidth="1"/>
    <col min="4" max="4" width="12.28125" style="0" customWidth="1"/>
    <col min="5" max="5" width="23.00390625" style="0" bestFit="1" customWidth="1"/>
    <col min="6" max="6" width="15.00390625" style="0" bestFit="1" customWidth="1"/>
    <col min="7" max="7" width="14.140625" style="0" customWidth="1"/>
  </cols>
  <sheetData>
    <row r="2" spans="2:7" ht="15.75">
      <c r="B2" s="224" t="s">
        <v>273</v>
      </c>
      <c r="D2" s="224"/>
      <c r="E2" s="224"/>
      <c r="F2" s="224"/>
      <c r="G2" s="224"/>
    </row>
    <row r="3" ht="4.5" customHeight="1"/>
    <row r="4" ht="12.75">
      <c r="B4" s="287" t="s">
        <v>274</v>
      </c>
    </row>
    <row r="5" ht="12.75">
      <c r="B5" t="s">
        <v>275</v>
      </c>
    </row>
    <row r="6" ht="12.75">
      <c r="B6" t="s">
        <v>276</v>
      </c>
    </row>
    <row r="8" ht="12.75">
      <c r="B8" t="s">
        <v>277</v>
      </c>
    </row>
    <row r="10" spans="4:7" ht="12.75">
      <c r="D10" s="288" t="s">
        <v>254</v>
      </c>
      <c r="E10" s="288" t="s">
        <v>278</v>
      </c>
      <c r="F10" s="288" t="s">
        <v>280</v>
      </c>
      <c r="G10" s="290" t="s">
        <v>282</v>
      </c>
    </row>
    <row r="11" spans="4:9" ht="12.75">
      <c r="D11" s="290" t="s">
        <v>216</v>
      </c>
      <c r="E11" s="290" t="s">
        <v>279</v>
      </c>
      <c r="F11" s="290" t="s">
        <v>281</v>
      </c>
      <c r="G11" s="290" t="s">
        <v>283</v>
      </c>
      <c r="I11" s="290"/>
    </row>
    <row r="12" spans="3:7" ht="12.75">
      <c r="C12">
        <v>2009</v>
      </c>
      <c r="D12" s="257">
        <v>17352056.168505516</v>
      </c>
      <c r="E12" s="289">
        <f>'WMT Marginal Tax Rate tESO'!M29</f>
        <v>9.97</v>
      </c>
      <c r="F12" s="284">
        <f>D12*E12</f>
        <v>173000000</v>
      </c>
      <c r="G12" s="292">
        <f>(F12-F13)/F13</f>
        <v>1.8833333333333335</v>
      </c>
    </row>
    <row r="13" spans="3:7" ht="12.75">
      <c r="C13">
        <v>2008</v>
      </c>
      <c r="D13" s="257">
        <v>5454545.454545454</v>
      </c>
      <c r="E13" s="289">
        <f>'WMT Marginal Tax Rate tESO'!M25</f>
        <v>11</v>
      </c>
      <c r="F13" s="284">
        <f>D13*E13</f>
        <v>59999999.99999999</v>
      </c>
      <c r="G13" s="292">
        <f>(F13-F14)/F14</f>
        <v>-0.4174757281553399</v>
      </c>
    </row>
    <row r="14" spans="3:7" ht="12.75">
      <c r="C14">
        <v>2007</v>
      </c>
      <c r="D14" s="257">
        <v>11195652.173913045</v>
      </c>
      <c r="E14" s="289">
        <f>'WMT Marginal Tax Rate tESO'!M21</f>
        <v>9.2</v>
      </c>
      <c r="F14" s="284">
        <f>D14*E14</f>
        <v>103000000</v>
      </c>
      <c r="G14" s="294" t="s">
        <v>161</v>
      </c>
    </row>
    <row r="15" spans="7:8" ht="12.75">
      <c r="G15" s="293">
        <f>AVERAGE(G12:G13)</f>
        <v>0.7329288025889968</v>
      </c>
      <c r="H15" s="276" t="s">
        <v>284</v>
      </c>
    </row>
    <row r="17" ht="12.75">
      <c r="B17" s="295" t="s">
        <v>285</v>
      </c>
    </row>
    <row r="18" ht="12.75">
      <c r="B18" s="296" t="s">
        <v>286</v>
      </c>
    </row>
    <row r="19" ht="12.75">
      <c r="B19" s="296" t="s">
        <v>287</v>
      </c>
    </row>
    <row r="20" ht="12.75">
      <c r="B20" s="296" t="s">
        <v>288</v>
      </c>
    </row>
    <row r="21" ht="12.75">
      <c r="B21" s="296" t="s">
        <v>290</v>
      </c>
    </row>
    <row r="22" ht="12.75">
      <c r="B22" s="297" t="s">
        <v>289</v>
      </c>
    </row>
    <row r="23" ht="12.75">
      <c r="B23" s="296"/>
    </row>
    <row r="24" spans="3:13" ht="12.75" customHeight="1">
      <c r="C24" s="332" t="s">
        <v>6</v>
      </c>
      <c r="D24" s="332"/>
      <c r="E24" s="332"/>
      <c r="F24" s="332"/>
      <c r="G24" s="305"/>
      <c r="H24" s="305"/>
      <c r="I24" s="305"/>
      <c r="J24" s="305"/>
      <c r="K24" s="305"/>
      <c r="M24" s="298"/>
    </row>
    <row r="25" spans="3:14" ht="13.5" thickBot="1">
      <c r="C25" s="299" t="s">
        <v>291</v>
      </c>
      <c r="D25" s="306">
        <v>2009</v>
      </c>
      <c r="E25" s="307">
        <v>2008</v>
      </c>
      <c r="F25" s="307">
        <v>2007</v>
      </c>
      <c r="G25" s="300"/>
      <c r="H25" s="331"/>
      <c r="I25" s="331"/>
      <c r="J25" s="301"/>
      <c r="K25" s="300"/>
      <c r="L25" s="331"/>
      <c r="M25" s="331"/>
      <c r="N25" s="295"/>
    </row>
    <row r="26" spans="3:13" ht="13.5" thickTop="1">
      <c r="C26" s="304" t="s">
        <v>292</v>
      </c>
      <c r="D26" s="308">
        <v>0.019</v>
      </c>
      <c r="E26" s="309">
        <v>0.021</v>
      </c>
      <c r="F26" s="308">
        <v>0.023</v>
      </c>
      <c r="G26" s="302"/>
      <c r="H26" s="301"/>
      <c r="I26" s="60"/>
      <c r="J26" s="60"/>
      <c r="K26" s="60"/>
      <c r="L26" s="60"/>
      <c r="M26" s="60"/>
    </row>
    <row r="27" spans="3:13" ht="13.5" thickBot="1">
      <c r="C27" s="304" t="s">
        <v>293</v>
      </c>
      <c r="D27" s="308">
        <v>0.167</v>
      </c>
      <c r="E27" s="309">
        <v>0.186</v>
      </c>
      <c r="F27" s="308">
        <v>0.194</v>
      </c>
      <c r="G27" s="302"/>
      <c r="H27" s="301"/>
      <c r="I27" s="60"/>
      <c r="J27" s="60"/>
      <c r="K27" s="60"/>
      <c r="L27" s="60"/>
      <c r="M27" s="60"/>
    </row>
    <row r="28" spans="3:13" ht="13.5" thickBot="1">
      <c r="C28" s="314" t="s">
        <v>294</v>
      </c>
      <c r="D28" s="315">
        <v>0.02</v>
      </c>
      <c r="E28" s="316">
        <v>0.045</v>
      </c>
      <c r="F28" s="317">
        <v>0.048</v>
      </c>
      <c r="G28" s="302"/>
      <c r="H28" s="301"/>
      <c r="I28" s="60"/>
      <c r="J28" s="60"/>
      <c r="K28" s="60"/>
      <c r="L28" s="60"/>
      <c r="M28" s="60"/>
    </row>
    <row r="29" spans="3:13" ht="12.75">
      <c r="C29" s="304" t="s">
        <v>295</v>
      </c>
      <c r="D29" s="310">
        <v>3.4</v>
      </c>
      <c r="E29" s="311">
        <v>5.6</v>
      </c>
      <c r="F29" s="310">
        <v>5.3</v>
      </c>
      <c r="G29" s="302"/>
      <c r="H29" s="303"/>
      <c r="I29" s="60"/>
      <c r="J29" s="301"/>
      <c r="K29" s="60"/>
      <c r="L29" s="60"/>
      <c r="M29" s="60"/>
    </row>
    <row r="31" ht="12.75">
      <c r="B31" s="319" t="s">
        <v>304</v>
      </c>
    </row>
    <row r="32" spans="2:4" ht="12.75">
      <c r="B32" t="s">
        <v>300</v>
      </c>
      <c r="C32" s="318">
        <f>D28</f>
        <v>0.02</v>
      </c>
      <c r="D32" t="s">
        <v>301</v>
      </c>
    </row>
    <row r="33" spans="2:4" ht="12.75">
      <c r="B33" t="s">
        <v>296</v>
      </c>
      <c r="C33" s="312">
        <f>'WMT - WACC'!H15</f>
        <v>0.03912598307116397</v>
      </c>
      <c r="D33" t="s">
        <v>299</v>
      </c>
    </row>
    <row r="34" spans="2:4" ht="15.75">
      <c r="B34" t="s">
        <v>297</v>
      </c>
      <c r="C34" s="313">
        <f>AVERAGE('WMT Marginal Tax Rate tESO'!G40:K40)</f>
        <v>-0.6677729544533628</v>
      </c>
      <c r="D34" t="s">
        <v>298</v>
      </c>
    </row>
    <row r="36" ht="14.25">
      <c r="B36" s="319" t="s">
        <v>303</v>
      </c>
    </row>
    <row r="37" ht="4.5" customHeight="1" thickBot="1"/>
    <row r="38" spans="3:7" ht="14.25" thickBot="1" thickTop="1">
      <c r="C38" s="329">
        <f>F12*(1+C32)*(1-C34)/(C33-C32)</f>
        <v>15387194187.500149</v>
      </c>
      <c r="D38" s="333" t="s">
        <v>302</v>
      </c>
      <c r="E38" s="334"/>
      <c r="F38" s="334"/>
      <c r="G38" s="334"/>
    </row>
    <row r="39" ht="13.5" thickTop="1"/>
    <row r="43" ht="12.75">
      <c r="C43" s="248"/>
    </row>
  </sheetData>
  <sheetProtection/>
  <mergeCells count="4">
    <mergeCell ref="H25:I25"/>
    <mergeCell ref="L25:M25"/>
    <mergeCell ref="C24:F24"/>
    <mergeCell ref="D38:G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3"/>
  <sheetViews>
    <sheetView tabSelected="1" zoomScale="75" zoomScaleNormal="75" zoomScalePageLayoutView="0" workbookViewId="0" topLeftCell="A1">
      <selection activeCell="M35" sqref="M35"/>
    </sheetView>
  </sheetViews>
  <sheetFormatPr defaultColWidth="9.140625" defaultRowHeight="12.75"/>
  <cols>
    <col min="1" max="1" width="1.7109375" style="0" customWidth="1"/>
    <col min="6" max="6" width="15.7109375" style="0" customWidth="1"/>
    <col min="7" max="7" width="15.7109375" style="0" bestFit="1" customWidth="1"/>
    <col min="8" max="8" width="2.421875" style="0" customWidth="1"/>
    <col min="9" max="9" width="19.8515625" style="0" bestFit="1" customWidth="1"/>
    <col min="10" max="10" width="0.9921875" style="0" customWidth="1"/>
    <col min="11" max="11" width="16.28125" style="0" bestFit="1" customWidth="1"/>
    <col min="12" max="12" width="0.9921875" style="0" customWidth="1"/>
    <col min="13" max="13" width="19.8515625" style="0" bestFit="1" customWidth="1"/>
    <col min="14" max="14" width="2.00390625" style="0" customWidth="1"/>
    <col min="15" max="15" width="12.00390625" style="0" bestFit="1" customWidth="1"/>
  </cols>
  <sheetData>
    <row r="2" spans="2:8" ht="15.75">
      <c r="B2" s="224" t="s">
        <v>260</v>
      </c>
      <c r="G2" s="224"/>
      <c r="H2" s="224"/>
    </row>
    <row r="3" spans="2:4" ht="15.75">
      <c r="B3" s="224" t="s">
        <v>263</v>
      </c>
      <c r="C3" s="225"/>
      <c r="D3" s="225"/>
    </row>
    <row r="4" spans="2:4" ht="4.5" customHeight="1">
      <c r="B4" s="226"/>
      <c r="C4" s="226"/>
      <c r="D4" s="226"/>
    </row>
    <row r="5" spans="2:14" ht="15.75">
      <c r="B5" s="275" t="s">
        <v>261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2:14" ht="15.75">
      <c r="B6" s="275" t="s">
        <v>262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ht="2.25" customHeight="1" thickBot="1"/>
    <row r="8" spans="2:14" ht="6" customHeight="1">
      <c r="B8" s="22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</row>
    <row r="9" spans="2:14" ht="12.75">
      <c r="B9" s="230"/>
      <c r="C9" s="52"/>
      <c r="D9" s="52"/>
      <c r="E9" s="52"/>
      <c r="F9" s="52"/>
      <c r="I9" s="61"/>
      <c r="K9" s="243" t="s">
        <v>258</v>
      </c>
      <c r="L9" s="243"/>
      <c r="M9" s="243" t="s">
        <v>212</v>
      </c>
      <c r="N9" s="232"/>
    </row>
    <row r="10" spans="2:14" ht="12.75">
      <c r="B10" s="230"/>
      <c r="C10" s="52"/>
      <c r="D10" s="52"/>
      <c r="E10" s="52"/>
      <c r="F10" s="52"/>
      <c r="G10" s="243" t="s">
        <v>255</v>
      </c>
      <c r="H10" s="243"/>
      <c r="I10" s="243" t="s">
        <v>212</v>
      </c>
      <c r="J10" s="243"/>
      <c r="K10" s="243" t="s">
        <v>259</v>
      </c>
      <c r="L10" s="243"/>
      <c r="M10" s="243" t="s">
        <v>213</v>
      </c>
      <c r="N10" s="232"/>
    </row>
    <row r="11" spans="2:14" ht="12.75">
      <c r="B11" s="230"/>
      <c r="C11" s="52"/>
      <c r="D11" s="52"/>
      <c r="E11" s="52"/>
      <c r="F11" s="52"/>
      <c r="G11" s="273" t="s">
        <v>256</v>
      </c>
      <c r="H11" s="243"/>
      <c r="I11" s="273" t="s">
        <v>213</v>
      </c>
      <c r="J11" s="273"/>
      <c r="K11" s="273" t="s">
        <v>214</v>
      </c>
      <c r="L11" s="273"/>
      <c r="M11" s="273" t="s">
        <v>257</v>
      </c>
      <c r="N11" s="232"/>
    </row>
    <row r="12" spans="2:14" ht="12.75">
      <c r="B12" s="230"/>
      <c r="C12" s="52"/>
      <c r="D12" s="52"/>
      <c r="E12" s="52"/>
      <c r="F12" s="52"/>
      <c r="G12" s="243"/>
      <c r="H12" s="243"/>
      <c r="I12" s="243"/>
      <c r="J12" s="243"/>
      <c r="K12" s="243"/>
      <c r="L12" s="243"/>
      <c r="M12" s="243"/>
      <c r="N12" s="232"/>
    </row>
    <row r="13" spans="2:14" ht="12.75">
      <c r="B13" s="244" t="s">
        <v>253</v>
      </c>
      <c r="C13" s="52"/>
      <c r="D13" s="52"/>
      <c r="E13" s="52"/>
      <c r="F13" s="52"/>
      <c r="G13" s="262">
        <v>80483000</v>
      </c>
      <c r="H13" s="262"/>
      <c r="I13" s="234">
        <v>46.79</v>
      </c>
      <c r="J13" s="234"/>
      <c r="K13" s="52"/>
      <c r="L13" s="52"/>
      <c r="M13" s="52"/>
      <c r="N13" s="232"/>
    </row>
    <row r="14" spans="2:14" ht="12.75">
      <c r="B14" s="230" t="s">
        <v>215</v>
      </c>
      <c r="C14" s="52"/>
      <c r="D14" s="52"/>
      <c r="E14" s="52"/>
      <c r="F14" s="52"/>
      <c r="G14" s="233">
        <v>4281000</v>
      </c>
      <c r="H14" s="233"/>
      <c r="I14" s="52">
        <v>50.74</v>
      </c>
      <c r="J14" s="52"/>
      <c r="K14" s="52"/>
      <c r="L14" s="52"/>
      <c r="M14" s="52"/>
      <c r="N14" s="232"/>
    </row>
    <row r="15" spans="2:14" ht="15.75">
      <c r="B15" s="281" t="s">
        <v>271</v>
      </c>
      <c r="C15" s="52"/>
      <c r="D15" s="52"/>
      <c r="E15" s="52"/>
      <c r="F15" s="52"/>
      <c r="G15" s="264">
        <v>-4208000</v>
      </c>
      <c r="H15" s="264"/>
      <c r="I15" s="265">
        <v>23.26</v>
      </c>
      <c r="J15" s="265"/>
      <c r="K15" s="52"/>
      <c r="L15" s="52"/>
      <c r="M15" s="52"/>
      <c r="N15" s="232"/>
    </row>
    <row r="16" spans="2:14" ht="12.75">
      <c r="B16" s="230" t="s">
        <v>252</v>
      </c>
      <c r="C16" s="52"/>
      <c r="D16" s="52"/>
      <c r="E16" s="52"/>
      <c r="F16" s="52"/>
      <c r="G16" s="235">
        <v>-8645000</v>
      </c>
      <c r="H16" s="236"/>
      <c r="I16" s="52">
        <v>51.92</v>
      </c>
      <c r="J16" s="52"/>
      <c r="K16" s="52"/>
      <c r="L16" s="52"/>
      <c r="M16" s="52"/>
      <c r="N16" s="232"/>
    </row>
    <row r="17" spans="2:14" ht="13.5" thickBot="1">
      <c r="B17" s="244" t="s">
        <v>249</v>
      </c>
      <c r="C17" s="52"/>
      <c r="D17" s="52"/>
      <c r="E17" s="52"/>
      <c r="F17" s="52"/>
      <c r="G17" s="263">
        <v>71911000</v>
      </c>
      <c r="H17" s="263"/>
      <c r="I17" s="272">
        <v>49.69</v>
      </c>
      <c r="J17" s="274"/>
      <c r="K17" s="268">
        <v>32904000</v>
      </c>
      <c r="L17" s="268"/>
      <c r="M17" s="269">
        <v>11.82</v>
      </c>
      <c r="N17" s="232"/>
    </row>
    <row r="18" spans="2:14" ht="13.5" thickTop="1">
      <c r="B18" s="230" t="s">
        <v>215</v>
      </c>
      <c r="C18" s="52"/>
      <c r="D18" s="52"/>
      <c r="E18" s="52"/>
      <c r="F18" s="52"/>
      <c r="G18" s="237">
        <v>12451000</v>
      </c>
      <c r="H18" s="237"/>
      <c r="I18" s="60">
        <v>43.74</v>
      </c>
      <c r="J18" s="60"/>
      <c r="K18" s="60"/>
      <c r="L18" s="60"/>
      <c r="M18" s="60"/>
      <c r="N18" s="232"/>
    </row>
    <row r="19" spans="2:14" ht="15.75">
      <c r="B19" s="281" t="s">
        <v>271</v>
      </c>
      <c r="C19" s="52"/>
      <c r="D19" s="52"/>
      <c r="E19" s="52"/>
      <c r="F19" s="52"/>
      <c r="G19" s="266">
        <v>-5015000</v>
      </c>
      <c r="H19" s="266"/>
      <c r="I19" s="270">
        <v>26.31</v>
      </c>
      <c r="J19" s="270"/>
      <c r="K19" s="60"/>
      <c r="L19" s="60"/>
      <c r="M19" s="60"/>
      <c r="N19" s="232"/>
    </row>
    <row r="20" spans="2:14" ht="12.75">
      <c r="B20" s="230" t="s">
        <v>252</v>
      </c>
      <c r="C20" s="52"/>
      <c r="D20" s="52"/>
      <c r="E20" s="52"/>
      <c r="F20" s="52"/>
      <c r="G20" s="238">
        <v>-7971000</v>
      </c>
      <c r="H20" s="237"/>
      <c r="I20" s="60">
        <v>47.36</v>
      </c>
      <c r="J20" s="60"/>
      <c r="K20" s="60"/>
      <c r="L20" s="60"/>
      <c r="M20" s="60"/>
      <c r="N20" s="232"/>
    </row>
    <row r="21" spans="2:14" ht="13.5" thickBot="1">
      <c r="B21" s="244" t="s">
        <v>250</v>
      </c>
      <c r="C21" s="52"/>
      <c r="D21" s="52"/>
      <c r="E21" s="52"/>
      <c r="F21" s="52"/>
      <c r="G21" s="263">
        <f>SUM(G17:G20)</f>
        <v>71376000</v>
      </c>
      <c r="H21" s="263"/>
      <c r="I21" s="272">
        <v>48.65</v>
      </c>
      <c r="J21" s="274"/>
      <c r="K21" s="268">
        <v>36917000</v>
      </c>
      <c r="L21" s="268"/>
      <c r="M21" s="269">
        <v>9.2</v>
      </c>
      <c r="N21" s="232"/>
    </row>
    <row r="22" spans="2:14" ht="13.5" thickTop="1">
      <c r="B22" s="230" t="s">
        <v>215</v>
      </c>
      <c r="C22" s="52"/>
      <c r="D22" s="52"/>
      <c r="E22" s="52"/>
      <c r="F22" s="52"/>
      <c r="G22" s="237">
        <v>8933000</v>
      </c>
      <c r="H22" s="237"/>
      <c r="I22" s="60">
        <v>42.85</v>
      </c>
      <c r="J22" s="60"/>
      <c r="K22" s="60"/>
      <c r="L22" s="60"/>
      <c r="M22" s="269"/>
      <c r="N22" s="232"/>
    </row>
    <row r="23" spans="2:14" ht="15.75">
      <c r="B23" s="281" t="s">
        <v>271</v>
      </c>
      <c r="C23" s="52"/>
      <c r="D23" s="52"/>
      <c r="E23" s="52"/>
      <c r="F23" s="52"/>
      <c r="G23" s="266">
        <v>-3134000</v>
      </c>
      <c r="H23" s="266"/>
      <c r="I23" s="270">
        <v>29.35</v>
      </c>
      <c r="J23" s="270"/>
      <c r="K23" s="60"/>
      <c r="L23" s="60"/>
      <c r="M23" s="269"/>
      <c r="N23" s="232"/>
    </row>
    <row r="24" spans="2:14" ht="12.75">
      <c r="B24" s="230" t="s">
        <v>252</v>
      </c>
      <c r="C24" s="52"/>
      <c r="D24" s="52"/>
      <c r="E24" s="52"/>
      <c r="F24" s="52"/>
      <c r="G24" s="238">
        <v>-8315000</v>
      </c>
      <c r="H24" s="237"/>
      <c r="I24" s="271">
        <v>45.31</v>
      </c>
      <c r="J24" s="60"/>
      <c r="K24" s="60"/>
      <c r="L24" s="60"/>
      <c r="M24" s="269"/>
      <c r="N24" s="232"/>
    </row>
    <row r="25" spans="2:14" ht="13.5" thickBot="1">
      <c r="B25" s="244" t="s">
        <v>251</v>
      </c>
      <c r="C25" s="52"/>
      <c r="D25" s="52"/>
      <c r="E25" s="52"/>
      <c r="F25" s="52"/>
      <c r="G25" s="267">
        <f>SUM(G21:G24)</f>
        <v>68860000</v>
      </c>
      <c r="H25" s="263"/>
      <c r="I25" s="272">
        <v>49.01</v>
      </c>
      <c r="J25" s="274"/>
      <c r="K25" s="268">
        <v>38902000</v>
      </c>
      <c r="L25" s="268"/>
      <c r="M25" s="269">
        <v>11</v>
      </c>
      <c r="N25" s="232"/>
    </row>
    <row r="26" spans="2:14" ht="13.5" thickTop="1">
      <c r="B26" s="230" t="s">
        <v>215</v>
      </c>
      <c r="C26" s="52"/>
      <c r="D26" s="52"/>
      <c r="E26" s="52"/>
      <c r="F26" s="52"/>
      <c r="G26" s="237">
        <v>1712000</v>
      </c>
      <c r="H26" s="237"/>
      <c r="I26" s="60">
        <v>39.51</v>
      </c>
      <c r="J26" s="60"/>
      <c r="K26" s="60"/>
      <c r="L26" s="60"/>
      <c r="M26" s="269"/>
      <c r="N26" s="232"/>
    </row>
    <row r="27" spans="2:14" ht="15.75">
      <c r="B27" s="281" t="s">
        <v>271</v>
      </c>
      <c r="C27" s="52"/>
      <c r="D27" s="52"/>
      <c r="E27" s="52"/>
      <c r="F27" s="52"/>
      <c r="G27" s="266">
        <v>-18043000</v>
      </c>
      <c r="H27" s="266"/>
      <c r="I27" s="270">
        <v>48.14</v>
      </c>
      <c r="J27" s="270"/>
      <c r="K27" s="60"/>
      <c r="L27" s="60"/>
      <c r="M27" s="269"/>
      <c r="N27" s="232"/>
    </row>
    <row r="28" spans="2:14" ht="12.75">
      <c r="B28" s="230" t="s">
        <v>252</v>
      </c>
      <c r="C28" s="52"/>
      <c r="D28" s="52"/>
      <c r="E28" s="52"/>
      <c r="F28" s="52"/>
      <c r="G28" s="238">
        <v>-3807000</v>
      </c>
      <c r="H28" s="237"/>
      <c r="I28" s="271">
        <v>48.62</v>
      </c>
      <c r="J28" s="60"/>
      <c r="K28" s="60"/>
      <c r="L28" s="60"/>
      <c r="M28" s="269"/>
      <c r="N28" s="232"/>
    </row>
    <row r="29" spans="2:14" ht="13.5" thickBot="1">
      <c r="B29" s="244" t="s">
        <v>248</v>
      </c>
      <c r="C29" s="52"/>
      <c r="D29" s="52"/>
      <c r="E29" s="52"/>
      <c r="F29" s="52"/>
      <c r="G29" s="267">
        <f>SUM(G25:G28)</f>
        <v>48722000</v>
      </c>
      <c r="H29" s="263"/>
      <c r="I29" s="272">
        <v>49.11</v>
      </c>
      <c r="J29" s="274"/>
      <c r="K29" s="268">
        <v>28539000</v>
      </c>
      <c r="L29" s="268"/>
      <c r="M29" s="269">
        <v>9.97</v>
      </c>
      <c r="N29" s="232"/>
    </row>
    <row r="30" spans="2:14" ht="14.25" thickBot="1" thickTop="1">
      <c r="B30" s="239"/>
      <c r="C30" s="240"/>
      <c r="D30" s="240" t="s">
        <v>217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1"/>
    </row>
    <row r="31" ht="13.5" thickBot="1"/>
    <row r="32" spans="2:14" ht="14.25">
      <c r="B32" s="280" t="s">
        <v>270</v>
      </c>
      <c r="C32" s="242"/>
      <c r="D32" s="228"/>
      <c r="E32" s="228"/>
      <c r="F32" s="228"/>
      <c r="G32" s="228"/>
      <c r="H32" s="228"/>
      <c r="I32" s="228"/>
      <c r="J32" s="228"/>
      <c r="K32" s="228"/>
      <c r="L32" s="228"/>
      <c r="M32" s="230"/>
      <c r="N32" s="52"/>
    </row>
    <row r="33" spans="2:14" ht="12.75">
      <c r="B33" s="230"/>
      <c r="C33" s="52"/>
      <c r="D33" s="52" t="s">
        <v>217</v>
      </c>
      <c r="E33" s="52"/>
      <c r="F33" s="52" t="s">
        <v>217</v>
      </c>
      <c r="G33" s="231">
        <v>2009</v>
      </c>
      <c r="H33" s="231"/>
      <c r="I33" s="231">
        <v>2008</v>
      </c>
      <c r="J33" s="231"/>
      <c r="K33" s="231">
        <v>2007</v>
      </c>
      <c r="L33" s="231"/>
      <c r="M33" s="277"/>
      <c r="N33" s="231"/>
    </row>
    <row r="34" spans="2:14" ht="15.75">
      <c r="B34" s="230" t="s">
        <v>264</v>
      </c>
      <c r="C34" s="52"/>
      <c r="D34" s="52"/>
      <c r="E34" s="52"/>
      <c r="F34" s="52"/>
      <c r="G34" s="346">
        <v>112000</v>
      </c>
      <c r="H34" s="233"/>
      <c r="I34" s="346">
        <v>102000</v>
      </c>
      <c r="J34" s="233"/>
      <c r="K34" s="346">
        <v>101000</v>
      </c>
      <c r="L34" s="233"/>
      <c r="M34" s="283" t="s">
        <v>308</v>
      </c>
      <c r="N34" s="52"/>
    </row>
    <row r="35" spans="2:14" ht="15.75">
      <c r="B35" s="230" t="s">
        <v>265</v>
      </c>
      <c r="C35" s="52"/>
      <c r="D35" s="52"/>
      <c r="E35" s="52"/>
      <c r="F35" s="52"/>
      <c r="G35" s="233">
        <f>-G27/1000</f>
        <v>18043</v>
      </c>
      <c r="H35" s="233"/>
      <c r="I35" s="233">
        <f>-G23/1000</f>
        <v>3134</v>
      </c>
      <c r="J35" s="233"/>
      <c r="K35" s="233">
        <f>-G19/1000</f>
        <v>5015</v>
      </c>
      <c r="L35" s="233"/>
      <c r="M35" s="282" t="s">
        <v>272</v>
      </c>
      <c r="N35" s="52"/>
    </row>
    <row r="36" spans="2:14" ht="15.75">
      <c r="B36" s="230" t="s">
        <v>266</v>
      </c>
      <c r="C36" s="52"/>
      <c r="D36" s="52"/>
      <c r="E36" s="52"/>
      <c r="F36" s="52"/>
      <c r="G36" s="286"/>
      <c r="H36" s="52"/>
      <c r="I36" s="286"/>
      <c r="J36" s="52"/>
      <c r="K36" s="286"/>
      <c r="L36" s="52"/>
      <c r="M36" s="282" t="s">
        <v>307</v>
      </c>
      <c r="N36" s="52"/>
    </row>
    <row r="37" spans="2:14" ht="12.75">
      <c r="B37" s="230" t="s">
        <v>267</v>
      </c>
      <c r="C37" s="52"/>
      <c r="D37" s="52"/>
      <c r="E37" s="52"/>
      <c r="F37" s="52"/>
      <c r="G37" s="285">
        <f>I27</f>
        <v>48.14</v>
      </c>
      <c r="H37" s="52"/>
      <c r="I37" s="285">
        <f>I23</f>
        <v>29.35</v>
      </c>
      <c r="J37" s="52"/>
      <c r="K37" s="285">
        <f>I19</f>
        <v>26.31</v>
      </c>
      <c r="L37" s="52"/>
      <c r="M37" s="282" t="s">
        <v>305</v>
      </c>
      <c r="N37" s="52"/>
    </row>
    <row r="38" spans="2:14" ht="15" customHeight="1">
      <c r="B38" s="230" t="s">
        <v>268</v>
      </c>
      <c r="C38" s="52"/>
      <c r="D38" s="52"/>
      <c r="E38" s="52"/>
      <c r="F38" s="52"/>
      <c r="G38" s="233">
        <f>G35*(G36-G37)</f>
        <v>-868590.02</v>
      </c>
      <c r="H38" s="233"/>
      <c r="I38" s="233">
        <f>I35*(I36-I37)</f>
        <v>-91982.90000000001</v>
      </c>
      <c r="J38" s="233"/>
      <c r="K38" s="233">
        <f>K35*(K36-K37)</f>
        <v>-131944.65</v>
      </c>
      <c r="L38" s="233"/>
      <c r="M38" s="278"/>
      <c r="N38" s="279"/>
    </row>
    <row r="39" spans="2:14" ht="12.75">
      <c r="B39" s="230" t="s">
        <v>219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278"/>
      <c r="N39" s="279"/>
    </row>
    <row r="40" spans="2:14" ht="14.25">
      <c r="B40" s="244" t="s">
        <v>269</v>
      </c>
      <c r="C40" s="231"/>
      <c r="D40" s="231"/>
      <c r="E40" s="231"/>
      <c r="F40" s="231"/>
      <c r="G40" s="245">
        <f>G34/G38</f>
        <v>-0.12894460841260874</v>
      </c>
      <c r="H40" s="245"/>
      <c r="I40" s="245">
        <f>I34/I38</f>
        <v>-1.1089017632625193</v>
      </c>
      <c r="J40" s="245"/>
      <c r="K40" s="245">
        <f>K34/K38</f>
        <v>-0.7654724916849603</v>
      </c>
      <c r="L40" s="245"/>
      <c r="M40" s="278"/>
      <c r="N40" s="279"/>
    </row>
    <row r="41" spans="2:14" ht="12.75">
      <c r="B41" s="23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230"/>
      <c r="N41" s="52"/>
    </row>
    <row r="42" spans="2:14" ht="13.5" thickBot="1"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30"/>
      <c r="N42" s="52"/>
    </row>
    <row r="44" spans="2:15" ht="12.75">
      <c r="B44" s="226" t="s">
        <v>218</v>
      </c>
      <c r="M44" s="284"/>
      <c r="O44" s="284"/>
    </row>
    <row r="47" spans="13:15" ht="12.75">
      <c r="M47" s="284"/>
      <c r="O47" s="284"/>
    </row>
    <row r="48" ht="12.75">
      <c r="F48" s="246"/>
    </row>
    <row r="49" spans="7:8" ht="12.75">
      <c r="G49" s="291"/>
      <c r="H49" s="246"/>
    </row>
    <row r="52" spans="3:5" ht="12.75">
      <c r="C52" s="291"/>
      <c r="D52" s="291"/>
      <c r="E52" s="291"/>
    </row>
    <row r="53" ht="12.75">
      <c r="E53" s="3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6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 outlineLevelRow="1"/>
  <cols>
    <col min="1" max="1" width="1.8515625" style="0" customWidth="1"/>
    <col min="2" max="2" width="49.00390625" style="0" customWidth="1"/>
    <col min="3" max="3" width="12.7109375" style="0" customWidth="1"/>
    <col min="4" max="4" width="9.8515625" style="0" bestFit="1" customWidth="1"/>
    <col min="5" max="5" width="10.8515625" style="0" bestFit="1" customWidth="1"/>
    <col min="6" max="7" width="9.8515625" style="0" bestFit="1" customWidth="1"/>
    <col min="8" max="8" width="7.00390625" style="0" customWidth="1"/>
    <col min="9" max="9" width="10.00390625" style="0" bestFit="1" customWidth="1"/>
    <col min="10" max="11" width="10.421875" style="0" bestFit="1" customWidth="1"/>
    <col min="12" max="12" width="10.00390625" style="0" customWidth="1"/>
    <col min="13" max="13" width="10.00390625" style="0" bestFit="1" customWidth="1"/>
  </cols>
  <sheetData>
    <row r="2" spans="2:16" ht="12.75">
      <c r="B2" s="66" t="s">
        <v>149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18"/>
      <c r="P2" s="218"/>
    </row>
    <row r="3" spans="2:16" ht="13.5" thickBot="1">
      <c r="B3" s="6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18"/>
      <c r="P3" s="218"/>
    </row>
    <row r="4" spans="2:16" ht="13.5" thickTop="1">
      <c r="B4" s="67" t="s">
        <v>126</v>
      </c>
      <c r="C4" s="335" t="s">
        <v>150</v>
      </c>
      <c r="D4" s="336"/>
      <c r="E4" s="336"/>
      <c r="F4" s="336"/>
      <c r="G4" s="337"/>
      <c r="H4" s="110"/>
      <c r="I4" s="338" t="s">
        <v>151</v>
      </c>
      <c r="J4" s="339"/>
      <c r="K4" s="339"/>
      <c r="L4" s="339"/>
      <c r="M4" s="340"/>
      <c r="N4" s="56"/>
      <c r="O4" s="218"/>
      <c r="P4" s="218"/>
    </row>
    <row r="5" spans="2:16" ht="12.75">
      <c r="B5" s="68" t="s">
        <v>127</v>
      </c>
      <c r="C5" s="70">
        <v>2014</v>
      </c>
      <c r="D5" s="71">
        <v>2013</v>
      </c>
      <c r="E5" s="71">
        <v>2012</v>
      </c>
      <c r="F5" s="71">
        <v>2011</v>
      </c>
      <c r="G5" s="72">
        <v>2010</v>
      </c>
      <c r="H5" s="73"/>
      <c r="I5" s="74">
        <v>2009</v>
      </c>
      <c r="J5" s="71">
        <v>2008</v>
      </c>
      <c r="K5" s="71">
        <v>2007</v>
      </c>
      <c r="L5" s="71">
        <v>2006</v>
      </c>
      <c r="M5" s="102">
        <v>2005</v>
      </c>
      <c r="N5" s="56"/>
      <c r="O5" s="218"/>
      <c r="P5" s="218"/>
    </row>
    <row r="6" spans="2:16" ht="12.75">
      <c r="B6" s="66"/>
      <c r="C6" s="70"/>
      <c r="D6" s="71"/>
      <c r="E6" s="71"/>
      <c r="F6" s="71"/>
      <c r="G6" s="156"/>
      <c r="H6" s="56"/>
      <c r="I6" s="101"/>
      <c r="J6" s="6"/>
      <c r="K6" s="6"/>
      <c r="L6" s="6"/>
      <c r="M6" s="139"/>
      <c r="N6" s="56"/>
      <c r="O6" s="218"/>
      <c r="P6" s="218"/>
    </row>
    <row r="7" spans="2:16" ht="12.75">
      <c r="B7" s="69" t="s">
        <v>140</v>
      </c>
      <c r="C7" s="146">
        <f>D7+0.02</f>
        <v>0.09200000000000001</v>
      </c>
      <c r="D7" s="137">
        <f>E7+0.02</f>
        <v>0.07200000000000001</v>
      </c>
      <c r="E7" s="137">
        <f>F7+0.02</f>
        <v>0.052000000000000005</v>
      </c>
      <c r="F7" s="137">
        <f>G7+0.02</f>
        <v>0.032</v>
      </c>
      <c r="G7" s="147">
        <v>0.012</v>
      </c>
      <c r="H7" s="56"/>
      <c r="I7" s="136">
        <f>(I19-J19)/J19</f>
        <v>0.07133817144871117</v>
      </c>
      <c r="J7" s="137">
        <f>(J19-K19)/K19</f>
        <v>0.08560778220944254</v>
      </c>
      <c r="K7" s="137">
        <f>(K19-L19)/L19</f>
        <v>0.11667772580880093</v>
      </c>
      <c r="L7" s="137">
        <f>(L19-M19)/M19</f>
        <v>0.09754234638776786</v>
      </c>
      <c r="M7" s="138">
        <f>(M19-N19)/N19</f>
        <v>0.2259076022576824</v>
      </c>
      <c r="N7" s="56"/>
      <c r="O7" s="218"/>
      <c r="P7" s="218"/>
    </row>
    <row r="8" spans="2:16" ht="12.75">
      <c r="B8" s="69" t="s">
        <v>141</v>
      </c>
      <c r="C8" s="146">
        <f aca="true" t="shared" si="0" ref="C8:E10">D8</f>
        <v>0.25</v>
      </c>
      <c r="D8" s="137">
        <f t="shared" si="0"/>
        <v>0.25</v>
      </c>
      <c r="E8" s="137">
        <f t="shared" si="0"/>
        <v>0.25</v>
      </c>
      <c r="F8" s="137">
        <v>0.25</v>
      </c>
      <c r="G8" s="147">
        <v>0.249</v>
      </c>
      <c r="H8" s="56"/>
      <c r="I8" s="136">
        <f>I21/I19</f>
        <v>0.25377326514539783</v>
      </c>
      <c r="J8" s="137">
        <f>J21/J19</f>
        <v>0.2518596839738763</v>
      </c>
      <c r="K8" s="137">
        <f>K21/K19</f>
        <v>0.2501478295148873</v>
      </c>
      <c r="L8" s="137">
        <f>L21/L19</f>
        <v>0.24604055738076355</v>
      </c>
      <c r="M8" s="138">
        <f>M21/M19</f>
        <v>0.24534260785539702</v>
      </c>
      <c r="N8" s="56"/>
      <c r="O8" s="218"/>
      <c r="P8" s="218"/>
    </row>
    <row r="9" spans="2:16" ht="12.75">
      <c r="B9" s="69" t="s">
        <v>142</v>
      </c>
      <c r="C9" s="146">
        <f t="shared" si="0"/>
        <v>0.200664698565505</v>
      </c>
      <c r="D9" s="137">
        <f t="shared" si="0"/>
        <v>0.200664698565505</v>
      </c>
      <c r="E9" s="137">
        <f t="shared" si="0"/>
        <v>0.200664698565505</v>
      </c>
      <c r="F9" s="137">
        <f>AVERAGE(I9:M9)</f>
        <v>0.200664698565505</v>
      </c>
      <c r="G9" s="147">
        <v>0.198</v>
      </c>
      <c r="H9" s="56"/>
      <c r="I9" s="136">
        <f>I22/I19</f>
        <v>0.2078286528895136</v>
      </c>
      <c r="J9" s="137">
        <f>J22/J19</f>
        <v>0.20459460758398615</v>
      </c>
      <c r="K9" s="137">
        <f>K22/K19</f>
        <v>0.2013061172432984</v>
      </c>
      <c r="L9" s="137">
        <f>L22/L19</f>
        <v>0.19568531615659746</v>
      </c>
      <c r="M9" s="138">
        <f>M22/M19</f>
        <v>0.1939087989541295</v>
      </c>
      <c r="N9" s="56"/>
      <c r="O9" s="218"/>
      <c r="P9" s="218"/>
    </row>
    <row r="10" spans="2:16" ht="14.25">
      <c r="B10" s="69" t="s">
        <v>143</v>
      </c>
      <c r="C10" s="146">
        <f t="shared" si="0"/>
        <v>0.39</v>
      </c>
      <c r="D10" s="137">
        <f t="shared" si="0"/>
        <v>0.39</v>
      </c>
      <c r="E10" s="137">
        <f t="shared" si="0"/>
        <v>0.39</v>
      </c>
      <c r="F10" s="137">
        <v>0.39</v>
      </c>
      <c r="G10" s="147">
        <f>AVERAGE(I10:M10)</f>
        <v>0.3829221040784306</v>
      </c>
      <c r="H10" s="56"/>
      <c r="I10" s="140">
        <f>I24/I23</f>
        <v>0.38757797667480337</v>
      </c>
      <c r="J10" s="141">
        <f>J24/J23</f>
        <v>0.3902383911422438</v>
      </c>
      <c r="K10" s="141">
        <f>K24/K23</f>
        <v>0.3777448071216617</v>
      </c>
      <c r="L10" s="141">
        <f>L24/L23</f>
        <v>0.3730153628591631</v>
      </c>
      <c r="M10" s="142">
        <f>M24/M23</f>
        <v>0.38603398259428096</v>
      </c>
      <c r="N10" s="56"/>
      <c r="O10" s="218"/>
      <c r="P10" s="218"/>
    </row>
    <row r="11" spans="2:16" ht="12.75">
      <c r="B11" s="69" t="s">
        <v>144</v>
      </c>
      <c r="C11" s="148">
        <v>0</v>
      </c>
      <c r="D11" s="149">
        <f aca="true" t="shared" si="1" ref="D11:E15">E11</f>
        <v>500</v>
      </c>
      <c r="E11" s="149">
        <f t="shared" si="1"/>
        <v>500</v>
      </c>
      <c r="F11" s="149">
        <v>500</v>
      </c>
      <c r="G11" s="150">
        <f>AVERAGE(I11:M11)</f>
        <v>577.4</v>
      </c>
      <c r="H11" s="56"/>
      <c r="I11" s="143">
        <f>(I26-J26)</f>
        <v>422</v>
      </c>
      <c r="J11" s="144">
        <f>(J26-K26)</f>
        <v>858</v>
      </c>
      <c r="K11" s="144">
        <f>(K26-L26)</f>
        <v>742</v>
      </c>
      <c r="L11" s="144">
        <f>(L26-M26)</f>
        <v>312</v>
      </c>
      <c r="M11" s="145">
        <f>(M26-N26)</f>
        <v>553</v>
      </c>
      <c r="N11" s="56"/>
      <c r="O11" s="218"/>
      <c r="P11" s="218"/>
    </row>
    <row r="12" spans="2:16" ht="12.75">
      <c r="B12" s="69" t="s">
        <v>128</v>
      </c>
      <c r="C12" s="146">
        <v>0</v>
      </c>
      <c r="D12" s="137">
        <f t="shared" si="1"/>
        <v>-0.16001468299304236</v>
      </c>
      <c r="E12" s="137">
        <f t="shared" si="1"/>
        <v>-0.16001468299304236</v>
      </c>
      <c r="F12" s="137">
        <f>AVERAGE(I12:M12)</f>
        <v>-0.16001468299304236</v>
      </c>
      <c r="G12" s="147">
        <f>AVERAGE(I12:M12)</f>
        <v>-0.16001468299304236</v>
      </c>
      <c r="H12" s="56"/>
      <c r="I12" s="136">
        <f>I27/I24</f>
        <v>-0.22463261021693492</v>
      </c>
      <c r="J12" s="137">
        <f>J27/J24</f>
        <v>-0.11030689056166763</v>
      </c>
      <c r="K12" s="137">
        <f>K27/K24</f>
        <v>-0.1725058915946583</v>
      </c>
      <c r="L12" s="137">
        <f>L27/L24</f>
        <v>-0.13785972772703775</v>
      </c>
      <c r="M12" s="138">
        <f>M27/M24</f>
        <v>-0.15476829486491323</v>
      </c>
      <c r="N12" s="56"/>
      <c r="O12" s="218"/>
      <c r="P12" s="218"/>
    </row>
    <row r="13" spans="2:16" ht="12.75">
      <c r="B13" s="69" t="s">
        <v>145</v>
      </c>
      <c r="C13" s="146">
        <f>D13</f>
        <v>0.02</v>
      </c>
      <c r="D13" s="137">
        <f t="shared" si="1"/>
        <v>0.02</v>
      </c>
      <c r="E13" s="137">
        <f t="shared" si="1"/>
        <v>0.02</v>
      </c>
      <c r="F13" s="137">
        <v>0.02</v>
      </c>
      <c r="G13" s="147">
        <v>0.02</v>
      </c>
      <c r="H13" s="56"/>
      <c r="I13" s="136">
        <f>I28/(I26-J26)</f>
        <v>9.518957345971565</v>
      </c>
      <c r="J13" s="137">
        <f>J28/(J26-K26)</f>
        <v>-6.1678321678321675</v>
      </c>
      <c r="K13" s="137">
        <f>K28/(K26-L26)</f>
        <v>-0.2210242587601078</v>
      </c>
      <c r="L13" s="137">
        <f>L28/(L26-M26)</f>
        <v>-2.16025641025641</v>
      </c>
      <c r="M13" s="138">
        <f>M28/(M26-N26)</f>
        <v>-1.6437613019891502</v>
      </c>
      <c r="N13" s="56"/>
      <c r="O13" s="218"/>
      <c r="P13" s="218"/>
    </row>
    <row r="14" spans="2:16" ht="12.75">
      <c r="B14" s="69" t="s">
        <v>146</v>
      </c>
      <c r="C14" s="154">
        <f>D14</f>
        <v>1</v>
      </c>
      <c r="D14" s="155">
        <f t="shared" si="1"/>
        <v>1</v>
      </c>
      <c r="E14" s="155">
        <f t="shared" si="1"/>
        <v>1</v>
      </c>
      <c r="F14" s="155">
        <f>G14</f>
        <v>1</v>
      </c>
      <c r="G14" s="153">
        <v>1</v>
      </c>
      <c r="H14" s="56"/>
      <c r="I14" s="136">
        <f>(I29-J29)/(I19-J19)</f>
        <v>0.12867729620480575</v>
      </c>
      <c r="J14" s="137">
        <f>(J29-K29)/(J19-K19)</f>
        <v>0.024683415724250018</v>
      </c>
      <c r="K14" s="137">
        <f>(K29-L29)/(K19-L19)</f>
        <v>-0.03151441174022804</v>
      </c>
      <c r="L14" s="137">
        <f>(L29-M29)/(L19-M19)</f>
        <v>-0.05962049750518993</v>
      </c>
      <c r="M14" s="138">
        <f>(M29-N29)/(M19-N19)</f>
        <v>-0.04983420727945712</v>
      </c>
      <c r="N14" s="56"/>
      <c r="O14" s="218"/>
      <c r="P14" s="218"/>
    </row>
    <row r="15" spans="2:16" ht="12.75">
      <c r="B15" s="69" t="s">
        <v>147</v>
      </c>
      <c r="C15" s="146">
        <v>0</v>
      </c>
      <c r="D15" s="137">
        <f t="shared" si="1"/>
        <v>-0.254842181374902</v>
      </c>
      <c r="E15" s="137">
        <f t="shared" si="1"/>
        <v>-0.254842181374902</v>
      </c>
      <c r="F15" s="137">
        <f>G15</f>
        <v>-0.254842181374902</v>
      </c>
      <c r="G15" s="147">
        <f>AVERAGE(I15:M15)</f>
        <v>-0.254842181374902</v>
      </c>
      <c r="H15" s="56"/>
      <c r="I15" s="136">
        <f>(I29+I26)/(I19-J19)</f>
        <v>-0.17815704768320983</v>
      </c>
      <c r="J15" s="137">
        <f>(J29+J26)/(J19-K19)</f>
        <v>-0.2918670007449042</v>
      </c>
      <c r="K15" s="137">
        <f>(K29+K26)/(K19-L19)</f>
        <v>-0.2831580991483341</v>
      </c>
      <c r="L15" s="137">
        <f>(L29+L26)/(L19-M19)</f>
        <v>-0.35739519976690826</v>
      </c>
      <c r="M15" s="138">
        <f>(M29+M26)/(M19-N19)</f>
        <v>-0.1636335595311536</v>
      </c>
      <c r="N15" s="56"/>
      <c r="O15" s="218"/>
      <c r="P15" s="218"/>
    </row>
    <row r="16" spans="2:16" ht="15.75">
      <c r="B16" s="69" t="s">
        <v>163</v>
      </c>
      <c r="C16" s="84" t="s">
        <v>161</v>
      </c>
      <c r="D16" s="85" t="s">
        <v>161</v>
      </c>
      <c r="E16" s="85" t="s">
        <v>161</v>
      </c>
      <c r="F16" s="85" t="s">
        <v>161</v>
      </c>
      <c r="G16" s="86" t="s">
        <v>161</v>
      </c>
      <c r="H16" s="56"/>
      <c r="I16" s="217">
        <f>'WMT - WACC'!H15</f>
        <v>0.03912598307116397</v>
      </c>
      <c r="J16" s="137" t="s">
        <v>161</v>
      </c>
      <c r="K16" s="137" t="s">
        <v>161</v>
      </c>
      <c r="L16" s="137" t="s">
        <v>161</v>
      </c>
      <c r="M16" s="138" t="s">
        <v>161</v>
      </c>
      <c r="N16" s="56"/>
      <c r="O16" s="218"/>
      <c r="P16" s="218"/>
    </row>
    <row r="17" spans="2:16" ht="15.75">
      <c r="B17" s="69" t="s">
        <v>148</v>
      </c>
      <c r="C17" s="151">
        <v>0.028</v>
      </c>
      <c r="D17" s="137" t="s">
        <v>161</v>
      </c>
      <c r="E17" s="137" t="s">
        <v>161</v>
      </c>
      <c r="F17" s="137" t="s">
        <v>161</v>
      </c>
      <c r="G17" s="86" t="s">
        <v>161</v>
      </c>
      <c r="H17" s="56"/>
      <c r="I17" s="99"/>
      <c r="J17" s="100"/>
      <c r="K17" s="100"/>
      <c r="L17" s="100"/>
      <c r="M17" s="103"/>
      <c r="N17" s="56"/>
      <c r="O17" s="218"/>
      <c r="P17" s="218"/>
    </row>
    <row r="18" spans="2:16" ht="12.75">
      <c r="B18" s="56"/>
      <c r="C18" s="83"/>
      <c r="D18" s="6"/>
      <c r="E18" s="6"/>
      <c r="F18" s="87"/>
      <c r="G18" s="88"/>
      <c r="H18" s="56"/>
      <c r="I18" s="101"/>
      <c r="J18" s="87"/>
      <c r="K18" s="87"/>
      <c r="L18" s="87"/>
      <c r="M18" s="104"/>
      <c r="N18" s="56"/>
      <c r="O18" s="218"/>
      <c r="P18" s="218"/>
    </row>
    <row r="19" spans="2:16" ht="12.75">
      <c r="B19" s="56" t="s">
        <v>129</v>
      </c>
      <c r="C19" s="89">
        <f>D19*(1+C7)</f>
        <v>516062.05159102986</v>
      </c>
      <c r="D19" s="17">
        <f>E19*(1+D7)</f>
        <v>472584.2963287819</v>
      </c>
      <c r="E19" s="17">
        <f>F19*(1+E7)</f>
        <v>440843.560008192</v>
      </c>
      <c r="F19" s="17">
        <f>G19*(1+F7)</f>
        <v>419052.813696</v>
      </c>
      <c r="G19" s="90">
        <f>I19*(1+G7)</f>
        <v>406058.928</v>
      </c>
      <c r="H19" s="56"/>
      <c r="I19" s="75">
        <f>'WMT P&amp;L'!E8</f>
        <v>401244</v>
      </c>
      <c r="J19" s="17">
        <f>'WMT P&amp;L'!G8</f>
        <v>374526</v>
      </c>
      <c r="K19" s="17">
        <f>'WMT P&amp;L'!I8</f>
        <v>344992</v>
      </c>
      <c r="L19" s="17">
        <f>'WMT P&amp;L'!K8</f>
        <v>308945</v>
      </c>
      <c r="M19" s="105">
        <f>'WMT P&amp;L'!M8</f>
        <v>281488</v>
      </c>
      <c r="N19" s="134">
        <v>229616</v>
      </c>
      <c r="O19" s="219">
        <v>2004</v>
      </c>
      <c r="P19" s="218"/>
    </row>
    <row r="20" spans="2:16" ht="12.75">
      <c r="B20" s="56" t="s">
        <v>130</v>
      </c>
      <c r="C20" s="91">
        <f>C19*(1-C8)</f>
        <v>387046.5386932724</v>
      </c>
      <c r="D20" s="77">
        <f>D19*(1-D8)</f>
        <v>354438.2222465864</v>
      </c>
      <c r="E20" s="77">
        <f>E19*(1-E8)</f>
        <v>330632.67000614404</v>
      </c>
      <c r="F20" s="77">
        <f>F19*(1-F8)</f>
        <v>314289.610272</v>
      </c>
      <c r="G20" s="92">
        <f>G19*(1-G8)</f>
        <v>304950.25492800004</v>
      </c>
      <c r="H20" s="56"/>
      <c r="I20" s="76">
        <f>'WMT P&amp;L'!E10</f>
        <v>299419</v>
      </c>
      <c r="J20" s="77">
        <f>'WMT P&amp;L'!G10</f>
        <v>280198</v>
      </c>
      <c r="K20" s="77">
        <f>'WMT P&amp;L'!I10</f>
        <v>258693</v>
      </c>
      <c r="L20" s="77">
        <f>'WMT P&amp;L'!K10</f>
        <v>232932</v>
      </c>
      <c r="M20" s="106">
        <f>'WMT P&amp;L'!M10</f>
        <v>212427</v>
      </c>
      <c r="N20" s="135"/>
      <c r="O20" s="220"/>
      <c r="P20" s="218"/>
    </row>
    <row r="21" spans="2:16" ht="12.75">
      <c r="B21" s="56" t="s">
        <v>131</v>
      </c>
      <c r="C21" s="93">
        <f>C19-C20</f>
        <v>129015.51289775746</v>
      </c>
      <c r="D21" s="79">
        <f>D19-D20</f>
        <v>118146.07408219547</v>
      </c>
      <c r="E21" s="79">
        <f>E19-E20</f>
        <v>110210.89000204799</v>
      </c>
      <c r="F21" s="79">
        <f>F19-F20</f>
        <v>104763.203424</v>
      </c>
      <c r="G21" s="94">
        <f>G19-G20</f>
        <v>101108.67307199998</v>
      </c>
      <c r="H21" s="152"/>
      <c r="I21" s="78">
        <f>I19-I20</f>
        <v>101825</v>
      </c>
      <c r="J21" s="79">
        <f>J19-J20</f>
        <v>94328</v>
      </c>
      <c r="K21" s="79">
        <f>K19-K20</f>
        <v>86299</v>
      </c>
      <c r="L21" s="79">
        <f>L19-L20</f>
        <v>76013</v>
      </c>
      <c r="M21" s="107">
        <f>M19-M20</f>
        <v>69061</v>
      </c>
      <c r="N21" s="135"/>
      <c r="O21" s="220"/>
      <c r="P21" s="218"/>
    </row>
    <row r="22" spans="2:16" ht="12.75">
      <c r="B22" s="56" t="s">
        <v>132</v>
      </c>
      <c r="C22" s="91">
        <f>C19*C9</f>
        <v>103555.4360236101</v>
      </c>
      <c r="D22" s="77">
        <f>D19*D9</f>
        <v>94830.98536960631</v>
      </c>
      <c r="E22" s="77">
        <f>E19*E9</f>
        <v>88461.74008358797</v>
      </c>
      <c r="F22" s="77">
        <f>F19*F9</f>
        <v>84089.10654333458</v>
      </c>
      <c r="G22" s="92">
        <f>G19*G9</f>
        <v>80399.667744</v>
      </c>
      <c r="H22" s="56"/>
      <c r="I22" s="76">
        <f>'WMT P&amp;L'!E13+'WMT P&amp;L'!E15</f>
        <v>83390</v>
      </c>
      <c r="J22" s="77">
        <f>'WMT P&amp;L'!G13+'WMT P&amp;L'!G15</f>
        <v>76626</v>
      </c>
      <c r="K22" s="77">
        <f>'WMT P&amp;L'!I13+'WMT P&amp;L'!I15</f>
        <v>69449</v>
      </c>
      <c r="L22" s="77">
        <f>'WMT P&amp;L'!K13+'WMT P&amp;L'!K15</f>
        <v>60456</v>
      </c>
      <c r="M22" s="106">
        <f>'WMT P&amp;L'!M13+'WMT P&amp;L'!M15</f>
        <v>54583</v>
      </c>
      <c r="N22" s="135"/>
      <c r="O22" s="220"/>
      <c r="P22" s="218"/>
    </row>
    <row r="23" spans="2:16" ht="12.75">
      <c r="B23" s="56" t="s">
        <v>133</v>
      </c>
      <c r="C23" s="95">
        <f>C21-C22</f>
        <v>25460.07687414736</v>
      </c>
      <c r="D23" s="81">
        <f>D21-D22</f>
        <v>23315.08871258916</v>
      </c>
      <c r="E23" s="81">
        <f>E21-E22</f>
        <v>21749.149918460025</v>
      </c>
      <c r="F23" s="81">
        <f>F21-F22</f>
        <v>20674.096880665427</v>
      </c>
      <c r="G23" s="96">
        <f>G21-G22</f>
        <v>20709.00532799997</v>
      </c>
      <c r="H23" s="56"/>
      <c r="I23" s="80">
        <f>I21-I22</f>
        <v>18435</v>
      </c>
      <c r="J23" s="81">
        <f>J21-J22</f>
        <v>17702</v>
      </c>
      <c r="K23" s="81">
        <f>K21-K22</f>
        <v>16850</v>
      </c>
      <c r="L23" s="81">
        <f>L21-L22</f>
        <v>15557</v>
      </c>
      <c r="M23" s="108">
        <f>M21-M22</f>
        <v>14478</v>
      </c>
      <c r="N23" s="135"/>
      <c r="O23" s="220"/>
      <c r="P23" s="218"/>
    </row>
    <row r="24" spans="2:16" ht="12.75">
      <c r="B24" s="56" t="s">
        <v>134</v>
      </c>
      <c r="C24" s="95">
        <f>C23*C10</f>
        <v>9929.42998091747</v>
      </c>
      <c r="D24" s="81">
        <f>D23*D10</f>
        <v>9092.884597909773</v>
      </c>
      <c r="E24" s="81">
        <f>E23*E10</f>
        <v>8482.16846819941</v>
      </c>
      <c r="F24" s="81">
        <f>F23*F10</f>
        <v>8062.897783459517</v>
      </c>
      <c r="G24" s="96">
        <f>G23*G10</f>
        <v>7929.935893569178</v>
      </c>
      <c r="H24" s="56"/>
      <c r="I24" s="80">
        <f>'WMT P&amp;L'!E23</f>
        <v>7145</v>
      </c>
      <c r="J24" s="81">
        <f>'WMT P&amp;L'!G23</f>
        <v>6908</v>
      </c>
      <c r="K24" s="81">
        <f>'WMT P&amp;L'!I23</f>
        <v>6365</v>
      </c>
      <c r="L24" s="81">
        <f>'WMT P&amp;L'!K23</f>
        <v>5803</v>
      </c>
      <c r="M24" s="108">
        <f>'WMT P&amp;L'!M23</f>
        <v>5589</v>
      </c>
      <c r="N24" s="135"/>
      <c r="O24" s="220"/>
      <c r="P24" s="218"/>
    </row>
    <row r="25" spans="2:16" ht="13.5" thickBot="1">
      <c r="B25" s="66" t="s">
        <v>135</v>
      </c>
      <c r="C25" s="97">
        <f>C23-C24</f>
        <v>15530.646893229889</v>
      </c>
      <c r="D25" s="26">
        <f>D23-D24</f>
        <v>14222.204114679387</v>
      </c>
      <c r="E25" s="26">
        <f>E23-E24</f>
        <v>13266.981450260615</v>
      </c>
      <c r="F25" s="26">
        <f>F23-F24</f>
        <v>12611.19909720591</v>
      </c>
      <c r="G25" s="98">
        <f>G23-G24</f>
        <v>12779.069434430792</v>
      </c>
      <c r="H25" s="56"/>
      <c r="I25" s="82">
        <f>I23-I24</f>
        <v>11290</v>
      </c>
      <c r="J25" s="26">
        <f>J23-J24</f>
        <v>10794</v>
      </c>
      <c r="K25" s="26">
        <f>K23-K24</f>
        <v>10485</v>
      </c>
      <c r="L25" s="26">
        <f>L23-L24</f>
        <v>9754</v>
      </c>
      <c r="M25" s="109">
        <f>M23-M24</f>
        <v>8889</v>
      </c>
      <c r="N25" s="135"/>
      <c r="O25" s="220"/>
      <c r="P25" s="218"/>
    </row>
    <row r="26" spans="2:16" ht="13.5" thickTop="1">
      <c r="B26" s="56" t="s">
        <v>136</v>
      </c>
      <c r="C26" s="95">
        <f>D26+C11</f>
        <v>8816.4</v>
      </c>
      <c r="D26" s="81">
        <f>E26+D11</f>
        <v>8816.4</v>
      </c>
      <c r="E26" s="81">
        <f>F26+E11</f>
        <v>8316.4</v>
      </c>
      <c r="F26" s="81">
        <f>G26+F11</f>
        <v>7816.4</v>
      </c>
      <c r="G26" s="96">
        <f>I26+G11</f>
        <v>7316.4</v>
      </c>
      <c r="H26" s="56"/>
      <c r="I26" s="80">
        <f>'WMT P&amp;L'!E15</f>
        <v>6739</v>
      </c>
      <c r="J26" s="81">
        <f>'WMT P&amp;L'!G15</f>
        <v>6317</v>
      </c>
      <c r="K26" s="81">
        <f>'WMT P&amp;L'!I15</f>
        <v>5459</v>
      </c>
      <c r="L26" s="81">
        <f>'WMT P&amp;L'!K15</f>
        <v>4717</v>
      </c>
      <c r="M26" s="108">
        <f>'WMT P&amp;L'!M15</f>
        <v>4405</v>
      </c>
      <c r="N26" s="134">
        <v>3852</v>
      </c>
      <c r="O26" s="219">
        <v>2004</v>
      </c>
      <c r="P26" s="218"/>
    </row>
    <row r="27" spans="2:16" ht="12.75">
      <c r="B27" s="56" t="s">
        <v>155</v>
      </c>
      <c r="C27" s="95">
        <f>C24*C12</f>
        <v>0</v>
      </c>
      <c r="D27" s="81">
        <f>D24*D12</f>
        <v>-1454.9950464268497</v>
      </c>
      <c r="E27" s="81">
        <f>E24*E12</f>
        <v>-1357.2714985325083</v>
      </c>
      <c r="F27" s="81">
        <f>F24*F12</f>
        <v>-1290.1820328255785</v>
      </c>
      <c r="G27" s="96">
        <f>G24*G12</f>
        <v>-1268.90617816462</v>
      </c>
      <c r="H27" s="56"/>
      <c r="I27" s="80">
        <v>-1605</v>
      </c>
      <c r="J27" s="81">
        <v>-762</v>
      </c>
      <c r="K27" s="81">
        <v>-1098</v>
      </c>
      <c r="L27" s="81">
        <v>-800</v>
      </c>
      <c r="M27" s="108">
        <v>-865</v>
      </c>
      <c r="N27" s="56"/>
      <c r="O27" s="218"/>
      <c r="P27" s="218"/>
    </row>
    <row r="28" spans="2:16" ht="12.75">
      <c r="B28" s="56" t="s">
        <v>137</v>
      </c>
      <c r="C28" s="95">
        <f>C13*(C19-D19)</f>
        <v>869.5551052449597</v>
      </c>
      <c r="D28" s="81">
        <f>D13*(D19-E19)</f>
        <v>634.8147264117969</v>
      </c>
      <c r="E28" s="81">
        <f>E13*(E19-F19)</f>
        <v>435.81492624384003</v>
      </c>
      <c r="F28" s="81">
        <f>F13*(F19-G19)</f>
        <v>259.87771392000025</v>
      </c>
      <c r="G28" s="96">
        <f>G13*(G19-I19)</f>
        <v>96.2985600000003</v>
      </c>
      <c r="H28" s="56"/>
      <c r="I28" s="80">
        <f>I47</f>
        <v>4017</v>
      </c>
      <c r="J28" s="81">
        <f>J47</f>
        <v>-5292</v>
      </c>
      <c r="K28" s="81">
        <f>K47</f>
        <v>-164</v>
      </c>
      <c r="L28" s="81">
        <f>L47</f>
        <v>-674</v>
      </c>
      <c r="M28" s="108">
        <f>M47</f>
        <v>-909</v>
      </c>
      <c r="N28" s="56"/>
      <c r="O28" s="218"/>
      <c r="P28" s="218"/>
    </row>
    <row r="29" spans="2:16" ht="12.75">
      <c r="B29" s="56" t="s">
        <v>138</v>
      </c>
      <c r="C29" s="95">
        <f>(C14*C26+C15*(C19-D19))*-1</f>
        <v>-8816.4</v>
      </c>
      <c r="D29" s="81">
        <f>(D14*D26+D15*(D19-E19))*-1</f>
        <v>-727.5215176153033</v>
      </c>
      <c r="E29" s="81">
        <f>(E14*E26+E15*(E19-F19))*-1</f>
        <v>-2763.198676013889</v>
      </c>
      <c r="F29" s="81">
        <f>(F14*F26+F15*(F19-G19))*-1</f>
        <v>-4505.00982469522</v>
      </c>
      <c r="G29" s="96">
        <f>(G14*G26+G15*(G19-I19))*-1</f>
        <v>-6089.353245316902</v>
      </c>
      <c r="H29" s="56"/>
      <c r="I29" s="80">
        <v>-11499</v>
      </c>
      <c r="J29" s="81">
        <v>-14937</v>
      </c>
      <c r="K29" s="81">
        <v>-15666</v>
      </c>
      <c r="L29" s="81">
        <v>-14530</v>
      </c>
      <c r="M29" s="108">
        <v>-12893</v>
      </c>
      <c r="N29" s="134">
        <v>-10308</v>
      </c>
      <c r="O29" s="219">
        <v>2004</v>
      </c>
      <c r="P29" s="218"/>
    </row>
    <row r="30" spans="2:16" ht="13.5" thickBot="1">
      <c r="B30" s="66" t="s">
        <v>139</v>
      </c>
      <c r="C30" s="97">
        <f>SUM(C25:C29)</f>
        <v>16400.201998474848</v>
      </c>
      <c r="D30" s="26">
        <f>SUM(D25:D29)</f>
        <v>21490.90227704903</v>
      </c>
      <c r="E30" s="26">
        <f>SUM(E25:E29)</f>
        <v>17898.726201958056</v>
      </c>
      <c r="F30" s="26">
        <f>SUM(F25:F29)</f>
        <v>14892.284953605109</v>
      </c>
      <c r="G30" s="98">
        <f>SUM(G25:G29)</f>
        <v>12833.50857094927</v>
      </c>
      <c r="H30" s="56"/>
      <c r="I30" s="82">
        <f>SUM(I25:I29)</f>
        <v>8942</v>
      </c>
      <c r="J30" s="26">
        <f>SUM(J25:J29)</f>
        <v>-3880</v>
      </c>
      <c r="K30" s="26">
        <f>SUM(K25:K29)</f>
        <v>-984</v>
      </c>
      <c r="L30" s="26">
        <f>SUM(L25:L29)</f>
        <v>-1533</v>
      </c>
      <c r="M30" s="109">
        <f>SUM(M25:M29)</f>
        <v>-1373</v>
      </c>
      <c r="N30" s="56"/>
      <c r="O30" s="218"/>
      <c r="P30" s="218"/>
    </row>
    <row r="31" spans="2:16" ht="13.5" thickTop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218"/>
      <c r="P31" s="218"/>
    </row>
    <row r="32" spans="2:16" ht="13.5" thickBot="1"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</row>
    <row r="33" spans="2:16" ht="12.75">
      <c r="B33" s="157" t="s">
        <v>170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</row>
    <row r="34" spans="2:16" ht="12.75">
      <c r="B34" s="160" t="s">
        <v>171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/>
    </row>
    <row r="35" spans="2:16" ht="12.75">
      <c r="B35" s="160" t="s">
        <v>172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</row>
    <row r="36" spans="2:16" ht="12.75">
      <c r="B36" s="12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</row>
    <row r="37" spans="2:16" ht="13.5" thickBot="1">
      <c r="B37" s="163" t="s">
        <v>164</v>
      </c>
      <c r="C37" s="164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2:16" ht="13.5" thickTop="1">
      <c r="B38" s="165" t="s">
        <v>207</v>
      </c>
      <c r="C38" s="166" t="s">
        <v>165</v>
      </c>
      <c r="D38" s="167" t="s">
        <v>166</v>
      </c>
      <c r="E38" s="168">
        <v>2013</v>
      </c>
      <c r="F38" s="168">
        <v>2012</v>
      </c>
      <c r="G38" s="168">
        <v>2011</v>
      </c>
      <c r="H38" s="168">
        <v>2010</v>
      </c>
      <c r="I38" s="161"/>
      <c r="J38" s="161"/>
      <c r="K38" s="161"/>
      <c r="L38" s="161"/>
      <c r="M38" s="161"/>
      <c r="N38" s="161"/>
      <c r="O38" s="161"/>
      <c r="P38" s="162"/>
    </row>
    <row r="39" spans="2:16" ht="13.5" thickBot="1">
      <c r="B39" s="165" t="s">
        <v>206</v>
      </c>
      <c r="C39" s="169"/>
      <c r="D39" s="161"/>
      <c r="E39" s="161"/>
      <c r="F39" s="161"/>
      <c r="G39" s="161"/>
      <c r="H39" s="161"/>
      <c r="I39" s="161"/>
      <c r="J39" s="320"/>
      <c r="K39" s="161"/>
      <c r="L39" s="161"/>
      <c r="M39" s="161"/>
      <c r="N39" s="161"/>
      <c r="O39" s="161"/>
      <c r="P39" s="162"/>
    </row>
    <row r="40" spans="2:16" ht="14.25" thickBot="1" thickTop="1">
      <c r="B40" s="165" t="s">
        <v>167</v>
      </c>
      <c r="C40" s="169"/>
      <c r="D40" s="170">
        <f>ROUND(((C30+D42)/((1+I16)^(2014-2009))),0)</f>
        <v>1264264</v>
      </c>
      <c r="E40" s="171">
        <f>ROUND(D30/(((1+0.111)^(D5-$I$5))),0)</f>
        <v>14106</v>
      </c>
      <c r="F40" s="171">
        <f>ROUND(E30/(((1+0.111)^(E5-$I$5))),0)</f>
        <v>13052</v>
      </c>
      <c r="G40" s="171">
        <f>ROUND(F30/(((1+0.111)^(F5-$I$5))),0)</f>
        <v>12065</v>
      </c>
      <c r="H40" s="172">
        <f>ROUND(G30/(((1+0.111)^(G5-$I$5))),0)</f>
        <v>11551</v>
      </c>
      <c r="I40" s="161"/>
      <c r="J40" s="161"/>
      <c r="K40" s="161"/>
      <c r="L40" s="161"/>
      <c r="M40" s="161"/>
      <c r="N40" s="161"/>
      <c r="O40" s="161"/>
      <c r="P40" s="162"/>
    </row>
    <row r="41" spans="2:16" ht="14.25" thickBot="1" thickTop="1">
      <c r="B41" s="165" t="s">
        <v>168</v>
      </c>
      <c r="C41" s="330">
        <f>SUM(D40:H40)</f>
        <v>1315038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</row>
    <row r="42" spans="2:16" ht="14.25" thickBot="1" thickTop="1">
      <c r="B42" s="173" t="s">
        <v>169</v>
      </c>
      <c r="C42" s="174"/>
      <c r="D42" s="175">
        <f>ROUND(((C30*(1+C17))/(I16-C17)),0)</f>
        <v>1515318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</row>
    <row r="43" spans="2:16" ht="13.5" thickBot="1">
      <c r="B43" s="178"/>
      <c r="C43" s="179"/>
      <c r="D43" s="180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61"/>
      <c r="P43" s="161"/>
    </row>
    <row r="44" spans="2:16" ht="12.75">
      <c r="B44" s="112" t="s">
        <v>156</v>
      </c>
      <c r="C44" s="113"/>
      <c r="D44" s="113"/>
      <c r="E44" s="113"/>
      <c r="F44" s="113"/>
      <c r="G44" s="113"/>
      <c r="H44" s="113"/>
      <c r="I44" s="126" t="s">
        <v>7</v>
      </c>
      <c r="J44" s="127">
        <f>I44-1</f>
        <v>2008</v>
      </c>
      <c r="K44" s="127">
        <f>J44-1</f>
        <v>2007</v>
      </c>
      <c r="L44" s="127">
        <f>K44-1</f>
        <v>2006</v>
      </c>
      <c r="M44" s="127">
        <f>L44-1</f>
        <v>2005</v>
      </c>
      <c r="N44" s="128">
        <f>M44-1</f>
        <v>2004</v>
      </c>
      <c r="O44" s="218"/>
      <c r="P44" s="218"/>
    </row>
    <row r="45" spans="2:16" ht="12.75">
      <c r="B45" s="114" t="s">
        <v>157</v>
      </c>
      <c r="C45" s="115"/>
      <c r="D45" s="116"/>
      <c r="E45" s="116"/>
      <c r="F45" s="116"/>
      <c r="G45" s="116"/>
      <c r="H45" s="117"/>
      <c r="I45" s="118">
        <f>'WMT Bal. Sht.'!E15-'WMT Bal. Sht.'!E44</f>
        <v>-6441</v>
      </c>
      <c r="J45" s="118">
        <f>'WMT Bal. Sht.'!G15-'WMT Bal. Sht.'!G44</f>
        <v>-10458</v>
      </c>
      <c r="K45" s="118">
        <f>'WMT Bal. Sht.'!I15-'WMT Bal. Sht.'!I44</f>
        <v>-5166</v>
      </c>
      <c r="L45" s="118">
        <f>'WMT Bal. Sht.'!K15-'WMT Bal. Sht.'!K44</f>
        <v>-5002</v>
      </c>
      <c r="M45" s="118">
        <f>'WMT Bal. Sht.'!M15-'WMT Bal. Sht.'!M44</f>
        <v>-4328</v>
      </c>
      <c r="N45" s="129">
        <f>34421-37840</f>
        <v>-3419</v>
      </c>
      <c r="O45" s="218"/>
      <c r="P45" s="218"/>
    </row>
    <row r="46" spans="2:16" ht="6.75" customHeight="1">
      <c r="B46" s="114"/>
      <c r="C46" s="115"/>
      <c r="D46" s="116"/>
      <c r="E46" s="116"/>
      <c r="F46" s="116"/>
      <c r="G46" s="116"/>
      <c r="H46" s="117"/>
      <c r="I46" s="118"/>
      <c r="J46" s="118"/>
      <c r="K46" s="118"/>
      <c r="L46" s="118"/>
      <c r="M46" s="118"/>
      <c r="N46" s="130"/>
      <c r="O46" s="218"/>
      <c r="P46" s="218"/>
    </row>
    <row r="47" spans="2:16" ht="12.75">
      <c r="B47" s="114" t="s">
        <v>158</v>
      </c>
      <c r="C47" s="116"/>
      <c r="D47" s="116"/>
      <c r="E47" s="116"/>
      <c r="F47" s="116"/>
      <c r="G47" s="116"/>
      <c r="H47" s="116"/>
      <c r="I47" s="118">
        <f>I45-J45</f>
        <v>4017</v>
      </c>
      <c r="J47" s="118">
        <f>J45-K45</f>
        <v>-5292</v>
      </c>
      <c r="K47" s="118">
        <f>K45-L45</f>
        <v>-164</v>
      </c>
      <c r="L47" s="118">
        <f>L45-M45</f>
        <v>-674</v>
      </c>
      <c r="M47" s="118">
        <f>M45-N45</f>
        <v>-909</v>
      </c>
      <c r="N47" s="131" t="s">
        <v>161</v>
      </c>
      <c r="O47" s="218"/>
      <c r="P47" s="218"/>
    </row>
    <row r="48" spans="2:16" ht="6.75" customHeight="1">
      <c r="B48" s="119"/>
      <c r="C48" s="116"/>
      <c r="D48" s="116"/>
      <c r="E48" s="116"/>
      <c r="F48" s="116"/>
      <c r="G48" s="116"/>
      <c r="H48" s="116"/>
      <c r="I48" s="118"/>
      <c r="J48" s="118"/>
      <c r="K48" s="118"/>
      <c r="L48" s="118"/>
      <c r="M48" s="118"/>
      <c r="N48" s="130"/>
      <c r="O48" s="218"/>
      <c r="P48" s="218"/>
    </row>
    <row r="49" spans="2:16" ht="12.75">
      <c r="B49" s="114" t="s">
        <v>162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32"/>
      <c r="O49" s="218"/>
      <c r="P49" s="218"/>
    </row>
    <row r="50" spans="2:16" ht="7.5" customHeight="1">
      <c r="B50" s="119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32"/>
      <c r="O50" s="218"/>
      <c r="P50" s="218"/>
    </row>
    <row r="51" spans="2:16" ht="12.75">
      <c r="B51" s="120" t="s">
        <v>159</v>
      </c>
      <c r="C51" s="116"/>
      <c r="D51" s="116"/>
      <c r="E51" s="116"/>
      <c r="F51" s="116"/>
      <c r="G51" s="116"/>
      <c r="H51" s="116"/>
      <c r="I51" s="121"/>
      <c r="J51" s="116"/>
      <c r="K51" s="116"/>
      <c r="L51" s="116"/>
      <c r="M51" s="116"/>
      <c r="N51" s="132"/>
      <c r="O51" s="218"/>
      <c r="P51" s="218"/>
    </row>
    <row r="52" spans="2:16" ht="7.5" customHeight="1">
      <c r="B52" s="122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32"/>
      <c r="O52" s="218"/>
      <c r="P52" s="218"/>
    </row>
    <row r="53" spans="2:16" ht="12.75">
      <c r="B53" s="120" t="s">
        <v>173</v>
      </c>
      <c r="C53" s="116"/>
      <c r="D53" s="116"/>
      <c r="E53" s="116"/>
      <c r="F53" s="116"/>
      <c r="G53" s="116"/>
      <c r="H53" s="116"/>
      <c r="I53" s="123"/>
      <c r="J53" s="124"/>
      <c r="K53" s="124"/>
      <c r="L53" s="124"/>
      <c r="M53" s="124"/>
      <c r="N53" s="133"/>
      <c r="O53" s="218"/>
      <c r="P53" s="218"/>
    </row>
    <row r="54" spans="2:16" ht="7.5" customHeight="1">
      <c r="B54" s="120"/>
      <c r="C54" s="125"/>
      <c r="D54" s="6"/>
      <c r="E54" s="6"/>
      <c r="F54" s="6"/>
      <c r="G54" s="6"/>
      <c r="H54" s="6"/>
      <c r="I54" s="6"/>
      <c r="J54" s="6"/>
      <c r="K54" s="6"/>
      <c r="L54" s="6"/>
      <c r="M54" s="6"/>
      <c r="N54" s="5"/>
      <c r="O54" s="218"/>
      <c r="P54" s="218"/>
    </row>
    <row r="55" spans="2:16" ht="12.75">
      <c r="B55" s="120" t="s">
        <v>160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5"/>
      <c r="O55" s="218"/>
      <c r="P55" s="218"/>
    </row>
    <row r="56" spans="2:16" ht="13.5" thickBo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  <c r="O56" s="218"/>
      <c r="P56" s="218"/>
    </row>
    <row r="58" spans="7:13" ht="12.75" hidden="1" outlineLevel="1">
      <c r="G58" s="65" t="s">
        <v>152</v>
      </c>
      <c r="I58" s="62">
        <f>'WMT P&amp;L'!E27</f>
        <v>13400</v>
      </c>
      <c r="J58" s="62">
        <f>'WMT P&amp;L'!G27</f>
        <v>12731</v>
      </c>
      <c r="K58" s="62">
        <f>'WMT P&amp;L'!I27</f>
        <v>11284</v>
      </c>
      <c r="L58" s="62">
        <f>'WMT P&amp;L'!K27</f>
        <v>11231</v>
      </c>
      <c r="M58" s="62">
        <f>'WMT P&amp;L'!M27</f>
        <v>10267</v>
      </c>
    </row>
    <row r="59" spans="7:13" ht="12.75" hidden="1" outlineLevel="1">
      <c r="G59" s="65" t="s">
        <v>153</v>
      </c>
      <c r="I59" s="55">
        <f>I58-I25</f>
        <v>2110</v>
      </c>
      <c r="J59" s="55">
        <f>J58-J25</f>
        <v>1937</v>
      </c>
      <c r="K59" s="55">
        <f>K58-K25</f>
        <v>799</v>
      </c>
      <c r="L59" s="55">
        <f>L58-L25</f>
        <v>1477</v>
      </c>
      <c r="M59" s="55">
        <f>M58-M25</f>
        <v>1378</v>
      </c>
    </row>
    <row r="60" ht="12.75" hidden="1" outlineLevel="1"/>
    <row r="61" spans="7:13" ht="12.75" hidden="1" outlineLevel="1">
      <c r="G61" s="65" t="s">
        <v>97</v>
      </c>
      <c r="I61" s="62">
        <v>284</v>
      </c>
      <c r="J61" s="62">
        <v>305</v>
      </c>
      <c r="K61" s="62">
        <v>280</v>
      </c>
      <c r="L61" s="62">
        <v>242</v>
      </c>
      <c r="M61" s="62">
        <v>204</v>
      </c>
    </row>
    <row r="62" spans="7:13" ht="12.75" hidden="1" outlineLevel="1">
      <c r="G62" s="65" t="s">
        <v>98</v>
      </c>
      <c r="I62" s="62">
        <v>4363</v>
      </c>
      <c r="J62" s="62">
        <v>4273</v>
      </c>
      <c r="K62" s="62">
        <v>3658</v>
      </c>
      <c r="L62" s="62">
        <v>3156</v>
      </c>
      <c r="M62" s="62">
        <v>2822</v>
      </c>
    </row>
    <row r="63" spans="7:13" ht="12.75" hidden="1" outlineLevel="1">
      <c r="G63" s="65" t="s">
        <v>101</v>
      </c>
      <c r="I63" s="62">
        <v>2184</v>
      </c>
      <c r="J63" s="62">
        <v>2103</v>
      </c>
      <c r="K63" s="62">
        <v>1809</v>
      </c>
      <c r="L63" s="62">
        <v>1420</v>
      </c>
      <c r="M63" s="62">
        <v>1184</v>
      </c>
    </row>
    <row r="64" spans="7:13" ht="12.75" hidden="1" outlineLevel="1">
      <c r="G64" s="65" t="s">
        <v>104</v>
      </c>
      <c r="I64" s="62">
        <v>499</v>
      </c>
      <c r="J64" s="62">
        <v>406</v>
      </c>
      <c r="K64" s="62">
        <v>425</v>
      </c>
      <c r="L64" s="62">
        <v>324</v>
      </c>
      <c r="M64" s="62">
        <v>249</v>
      </c>
    </row>
    <row r="65" spans="7:13" ht="12.75" hidden="1" outlineLevel="1">
      <c r="G65" s="65" t="s">
        <v>106</v>
      </c>
      <c r="I65" s="62">
        <v>146</v>
      </c>
      <c r="J65" s="62">
        <v>-132</v>
      </c>
      <c r="K65" s="62">
        <v>-905</v>
      </c>
      <c r="L65" s="62">
        <v>-177</v>
      </c>
      <c r="M65" s="62">
        <v>-215</v>
      </c>
    </row>
    <row r="66" spans="7:13" ht="12.75" hidden="1" outlineLevel="1">
      <c r="G66" s="111" t="s">
        <v>154</v>
      </c>
      <c r="I66" s="55">
        <f>I61+I62-I63-I64+I65</f>
        <v>2110</v>
      </c>
      <c r="J66" s="55">
        <f>J61+J62-J63-J64+J65</f>
        <v>1937</v>
      </c>
      <c r="K66" s="55">
        <f>K61+K62-K63-K64+K65</f>
        <v>799</v>
      </c>
      <c r="L66" s="55">
        <f>L61+L62-L63-L64+L65</f>
        <v>1477</v>
      </c>
      <c r="M66" s="55">
        <f>M61+M62-M63-M64+M65</f>
        <v>1378</v>
      </c>
    </row>
    <row r="67" ht="12.75" collapsed="1"/>
  </sheetData>
  <sheetProtection/>
  <mergeCells count="2">
    <mergeCell ref="C4:G4"/>
    <mergeCell ref="I4:M4"/>
  </mergeCells>
  <printOptions/>
  <pageMargins left="0.75" right="0.75" top="1" bottom="1" header="0.5" footer="0.5"/>
  <pageSetup orientation="portrait" paperSize="9"/>
  <ignoredErrors>
    <ignoredError sqref="C22:M24" formula="1"/>
    <ignoredError sqref="I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="75" zoomScaleNormal="75" zoomScalePageLayoutView="0" workbookViewId="0" topLeftCell="A4">
      <selection activeCell="M21" sqref="M21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53.57421875" style="0" bestFit="1" customWidth="1"/>
    <col min="4" max="4" width="2.28125" style="0" customWidth="1"/>
    <col min="5" max="5" width="12.28125" style="0" bestFit="1" customWidth="1"/>
    <col min="6" max="6" width="2.28125" style="0" customWidth="1"/>
    <col min="7" max="7" width="11.7109375" style="0" bestFit="1" customWidth="1"/>
    <col min="8" max="8" width="2.28125" style="0" customWidth="1"/>
    <col min="9" max="9" width="13.28125" style="0" bestFit="1" customWidth="1"/>
    <col min="10" max="10" width="2.8515625" style="0" customWidth="1"/>
    <col min="12" max="12" width="13.8515625" style="0" bestFit="1" customWidth="1"/>
    <col min="15" max="15" width="11.28125" style="0" bestFit="1" customWidth="1"/>
  </cols>
  <sheetData>
    <row r="1" spans="2:10" ht="13.5" thickBot="1">
      <c r="B1" s="341" t="s">
        <v>0</v>
      </c>
      <c r="C1" s="341"/>
      <c r="D1" s="341"/>
      <c r="E1" s="341"/>
      <c r="F1" s="341"/>
      <c r="G1" s="341"/>
      <c r="H1" s="341"/>
      <c r="I1" s="341"/>
      <c r="J1" s="341"/>
    </row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342" t="s">
        <v>1</v>
      </c>
      <c r="D3" s="342"/>
      <c r="E3" s="342"/>
      <c r="F3" s="342"/>
      <c r="G3" s="342"/>
      <c r="H3" s="342"/>
      <c r="I3" s="342"/>
      <c r="J3" s="5"/>
    </row>
    <row r="4" spans="2:10" ht="12.75">
      <c r="B4" s="4"/>
      <c r="C4" s="342" t="s">
        <v>2</v>
      </c>
      <c r="D4" s="342"/>
      <c r="E4" s="342"/>
      <c r="F4" s="342"/>
      <c r="G4" s="342"/>
      <c r="H4" s="342"/>
      <c r="I4" s="342"/>
      <c r="J4" s="5"/>
    </row>
    <row r="5" spans="2:10" ht="12.75">
      <c r="B5" s="4"/>
      <c r="C5" s="6"/>
      <c r="D5" s="6"/>
      <c r="E5" s="6"/>
      <c r="F5" s="6"/>
      <c r="G5" s="6"/>
      <c r="H5" s="6"/>
      <c r="I5" s="6"/>
      <c r="J5" s="5"/>
    </row>
    <row r="6" spans="2:15" ht="12.75">
      <c r="B6" s="4"/>
      <c r="C6" s="7" t="s">
        <v>3</v>
      </c>
      <c r="D6" s="6"/>
      <c r="E6" s="8" t="s">
        <v>4</v>
      </c>
      <c r="F6" s="6"/>
      <c r="G6" s="8" t="s">
        <v>5</v>
      </c>
      <c r="H6" s="6"/>
      <c r="I6" s="8"/>
      <c r="J6" s="5"/>
      <c r="L6" s="9"/>
      <c r="O6" s="10"/>
    </row>
    <row r="7" spans="2:12" ht="12.75">
      <c r="B7" s="4"/>
      <c r="C7" s="11" t="s">
        <v>6</v>
      </c>
      <c r="D7" s="6"/>
      <c r="E7" s="12" t="s">
        <v>7</v>
      </c>
      <c r="F7" s="6"/>
      <c r="G7" s="13">
        <v>2009</v>
      </c>
      <c r="H7" s="8"/>
      <c r="I7" s="8"/>
      <c r="J7" s="5"/>
      <c r="L7" s="9"/>
    </row>
    <row r="8" spans="2:15" ht="12.75">
      <c r="B8" s="4"/>
      <c r="C8" s="14"/>
      <c r="D8" s="6"/>
      <c r="E8" s="6"/>
      <c r="F8" s="6"/>
      <c r="G8" s="6"/>
      <c r="H8" s="6"/>
      <c r="I8" s="6"/>
      <c r="J8" s="5"/>
      <c r="L8" s="9"/>
      <c r="O8" s="15"/>
    </row>
    <row r="9" spans="2:15" ht="12.75">
      <c r="B9" s="4"/>
      <c r="C9" s="16" t="s">
        <v>8</v>
      </c>
      <c r="D9" s="6"/>
      <c r="E9" s="17">
        <v>209611.23526296316</v>
      </c>
      <c r="F9" s="6"/>
      <c r="G9" s="17">
        <f>'WMT GAAP BS with Econ Descrp.'!E10+'WMT GAAP BS with Econ Descrp.'!E11+'WMT GAAP BS with Econ Descrp.'!E12+'WMT GAAP BS with Econ Descrp.'!E13+'WMT GAAP BS with Econ Descrp.'!E24+'WMT GAAP BS with Econ Descrp.'!E29+'WMT GAAP BS with Econ Descrp.'!E31-'WMT GAAP BS with Econ Descrp.'!E38-'WMT GAAP BS with Econ Descrp.'!E39-'WMT GAAP BS with Econ Descrp.'!E40-'WMT GAAP BS with Econ Descrp.'!E48</f>
        <v>106015</v>
      </c>
      <c r="H9" s="18"/>
      <c r="I9" s="17"/>
      <c r="J9" s="5"/>
      <c r="L9" s="9"/>
      <c r="O9" s="15"/>
    </row>
    <row r="10" spans="2:15" ht="12.75">
      <c r="B10" s="4"/>
      <c r="C10" s="6"/>
      <c r="D10" s="6"/>
      <c r="E10" s="17"/>
      <c r="F10" s="6"/>
      <c r="G10" s="17"/>
      <c r="H10" s="18"/>
      <c r="I10" s="19"/>
      <c r="J10" s="5"/>
      <c r="L10" s="9"/>
      <c r="O10" s="15"/>
    </row>
    <row r="11" spans="2:15" ht="12.75">
      <c r="B11" s="4"/>
      <c r="C11" s="16" t="s">
        <v>9</v>
      </c>
      <c r="D11" s="6"/>
      <c r="E11" s="18">
        <v>195</v>
      </c>
      <c r="F11" s="6"/>
      <c r="G11" s="18">
        <f>'WMT GAAP BS with Econ Descrp.'!E14</f>
        <v>195</v>
      </c>
      <c r="H11" s="18"/>
      <c r="I11" s="19"/>
      <c r="J11" s="5"/>
      <c r="L11" s="9"/>
      <c r="O11" s="15"/>
    </row>
    <row r="12" spans="2:12" ht="12.75">
      <c r="B12" s="4"/>
      <c r="C12" s="16" t="s">
        <v>10</v>
      </c>
      <c r="D12" s="6"/>
      <c r="E12" s="18">
        <v>3567</v>
      </c>
      <c r="F12" s="6"/>
      <c r="G12" s="18">
        <f>'WMT GAAP BS with Econ Descrp.'!E32</f>
        <v>3567</v>
      </c>
      <c r="H12" s="18"/>
      <c r="I12" s="19"/>
      <c r="J12" s="5"/>
      <c r="L12" s="20"/>
    </row>
    <row r="13" spans="2:15" ht="12.75">
      <c r="B13" s="4"/>
      <c r="C13" s="16" t="s">
        <v>11</v>
      </c>
      <c r="D13" s="6"/>
      <c r="E13" s="18">
        <v>-83</v>
      </c>
      <c r="F13" s="6"/>
      <c r="G13" s="18">
        <f>-'WMT GAAP BS with Econ Descrp.'!E43</f>
        <v>-83</v>
      </c>
      <c r="H13" s="18"/>
      <c r="I13" s="19"/>
      <c r="J13" s="5"/>
      <c r="L13" s="9"/>
      <c r="O13" s="10"/>
    </row>
    <row r="14" spans="2:12" ht="12.75">
      <c r="B14" s="4"/>
      <c r="C14" s="16" t="s">
        <v>12</v>
      </c>
      <c r="D14" s="6"/>
      <c r="E14" s="21">
        <f>E11+E12+E13</f>
        <v>3679</v>
      </c>
      <c r="F14" s="6"/>
      <c r="G14" s="21">
        <f>G11+G12+G13</f>
        <v>3679</v>
      </c>
      <c r="H14" s="18"/>
      <c r="I14" s="22"/>
      <c r="J14" s="5"/>
      <c r="L14" s="9"/>
    </row>
    <row r="15" spans="2:15" ht="12.75">
      <c r="B15" s="4"/>
      <c r="C15" s="16"/>
      <c r="D15" s="6"/>
      <c r="E15" s="18"/>
      <c r="F15" s="6"/>
      <c r="G15" s="18"/>
      <c r="H15" s="18"/>
      <c r="I15" s="18"/>
      <c r="J15" s="5"/>
      <c r="L15" s="9"/>
      <c r="O15" s="15"/>
    </row>
    <row r="16" spans="2:15" ht="13.5" thickBot="1">
      <c r="B16" s="4"/>
      <c r="C16" s="14" t="s">
        <v>13</v>
      </c>
      <c r="D16" s="6"/>
      <c r="E16" s="23">
        <f>E9+E14</f>
        <v>213290.23526296316</v>
      </c>
      <c r="F16" s="6"/>
      <c r="G16" s="23">
        <f>G9+G14</f>
        <v>109694</v>
      </c>
      <c r="H16" s="18"/>
      <c r="I16" s="18"/>
      <c r="J16" s="5"/>
      <c r="L16" s="9"/>
      <c r="O16" s="15"/>
    </row>
    <row r="17" spans="2:15" ht="13.5" thickTop="1">
      <c r="B17" s="4"/>
      <c r="C17" s="24"/>
      <c r="D17" s="6"/>
      <c r="E17" s="18"/>
      <c r="F17" s="6"/>
      <c r="G17" s="18"/>
      <c r="H17" s="18"/>
      <c r="I17" s="18"/>
      <c r="J17" s="5"/>
      <c r="L17" s="9"/>
      <c r="O17" s="10"/>
    </row>
    <row r="18" spans="2:12" ht="12.75">
      <c r="B18" s="4"/>
      <c r="C18" s="16" t="s">
        <v>14</v>
      </c>
      <c r="D18" s="6"/>
      <c r="E18" s="18">
        <v>1506</v>
      </c>
      <c r="F18" s="6"/>
      <c r="G18" s="18">
        <f>'WMT GAAP BS with Econ Descrp.'!E37</f>
        <v>1506</v>
      </c>
      <c r="H18" s="18"/>
      <c r="I18" s="19"/>
      <c r="J18" s="5"/>
      <c r="L18" s="20"/>
    </row>
    <row r="19" spans="2:15" ht="12.75">
      <c r="B19" s="4"/>
      <c r="C19" s="16" t="s">
        <v>15</v>
      </c>
      <c r="D19" s="6"/>
      <c r="E19" s="18">
        <v>5848</v>
      </c>
      <c r="F19" s="6"/>
      <c r="G19" s="18">
        <f>'WMT GAAP BS with Econ Descrp.'!E41</f>
        <v>5848</v>
      </c>
      <c r="H19" s="18"/>
      <c r="I19" s="19"/>
      <c r="J19" s="5"/>
      <c r="L19" s="9"/>
      <c r="O19" s="15"/>
    </row>
    <row r="20" spans="2:15" ht="12.75">
      <c r="B20" s="4"/>
      <c r="C20" s="16" t="s">
        <v>16</v>
      </c>
      <c r="D20" s="6"/>
      <c r="E20" s="18">
        <v>315</v>
      </c>
      <c r="F20" s="6"/>
      <c r="G20" s="18">
        <f>'WMT GAAP BS with Econ Descrp.'!E42</f>
        <v>315</v>
      </c>
      <c r="H20" s="18"/>
      <c r="I20" s="19"/>
      <c r="J20" s="5"/>
      <c r="L20" s="9"/>
      <c r="O20" s="10"/>
    </row>
    <row r="21" spans="2:12" ht="12.75">
      <c r="B21" s="4"/>
      <c r="C21" s="16" t="s">
        <v>17</v>
      </c>
      <c r="D21" s="6"/>
      <c r="E21" s="18">
        <v>31349</v>
      </c>
      <c r="F21" s="6"/>
      <c r="G21" s="18">
        <f>'WMT GAAP BS with Econ Descrp.'!E46</f>
        <v>31349</v>
      </c>
      <c r="H21" s="18"/>
      <c r="I21" s="19"/>
      <c r="J21" s="5"/>
      <c r="L21" s="9"/>
    </row>
    <row r="22" spans="2:15" ht="12.75">
      <c r="B22" s="4"/>
      <c r="C22" s="16" t="s">
        <v>18</v>
      </c>
      <c r="D22" s="6"/>
      <c r="E22" s="18">
        <v>3200</v>
      </c>
      <c r="F22" s="6"/>
      <c r="G22" s="18">
        <f>'WMT GAAP BS with Econ Descrp.'!E47</f>
        <v>3200</v>
      </c>
      <c r="H22" s="18"/>
      <c r="I22" s="19"/>
      <c r="J22" s="5"/>
      <c r="L22" s="9"/>
      <c r="O22" s="10"/>
    </row>
    <row r="23" spans="2:12" ht="12.75">
      <c r="B23" s="4"/>
      <c r="C23" s="16" t="s">
        <v>19</v>
      </c>
      <c r="D23" s="6"/>
      <c r="E23" s="21">
        <f>SUM(E18:E22)</f>
        <v>42218</v>
      </c>
      <c r="F23" s="6"/>
      <c r="G23" s="21">
        <f>SUM(G18:G22)</f>
        <v>42218</v>
      </c>
      <c r="H23" s="18"/>
      <c r="I23" s="19"/>
      <c r="J23" s="5"/>
      <c r="L23" s="9"/>
    </row>
    <row r="24" spans="2:15" ht="12.75">
      <c r="B24" s="4"/>
      <c r="C24" s="16" t="s">
        <v>20</v>
      </c>
      <c r="D24" s="6"/>
      <c r="E24" s="18">
        <f>E42</f>
        <v>5554.853095339859</v>
      </c>
      <c r="F24" s="6"/>
      <c r="G24" s="18">
        <f>'WMT GAAP BS with Econ Descrp.'!E49</f>
        <v>2191</v>
      </c>
      <c r="H24" s="18"/>
      <c r="I24" s="25"/>
      <c r="J24" s="5"/>
      <c r="L24" s="9"/>
      <c r="O24" s="10"/>
    </row>
    <row r="25" spans="2:12" ht="12.75">
      <c r="B25" s="4"/>
      <c r="C25" s="16" t="s">
        <v>21</v>
      </c>
      <c r="D25" s="6"/>
      <c r="E25" s="18">
        <v>0</v>
      </c>
      <c r="F25" s="6"/>
      <c r="G25" s="18">
        <v>0</v>
      </c>
      <c r="H25" s="18"/>
      <c r="I25" s="18"/>
      <c r="J25" s="5"/>
      <c r="L25" s="9"/>
    </row>
    <row r="26" spans="2:12" ht="12.75">
      <c r="B26" s="4"/>
      <c r="C26" s="16" t="s">
        <v>22</v>
      </c>
      <c r="D26" s="6"/>
      <c r="E26" s="21">
        <f>E24+E25</f>
        <v>5554.853095339859</v>
      </c>
      <c r="F26" s="6"/>
      <c r="G26" s="21">
        <f>G24+G25</f>
        <v>2191</v>
      </c>
      <c r="H26" s="18"/>
      <c r="I26" s="18"/>
      <c r="J26" s="5"/>
      <c r="L26" s="9"/>
    </row>
    <row r="27" spans="2:12" ht="12.75">
      <c r="B27" s="4"/>
      <c r="C27" s="16"/>
      <c r="D27" s="6"/>
      <c r="E27" s="18"/>
      <c r="F27" s="6"/>
      <c r="G27" s="18"/>
      <c r="H27" s="18"/>
      <c r="I27" s="19"/>
      <c r="J27" s="5"/>
      <c r="L27" s="9"/>
    </row>
    <row r="28" spans="2:12" ht="12.75">
      <c r="B28" s="4"/>
      <c r="C28" s="16" t="s">
        <v>23</v>
      </c>
      <c r="D28" s="6"/>
      <c r="E28" s="18">
        <f>3925*42.17</f>
        <v>165517.25</v>
      </c>
      <c r="F28" s="6"/>
      <c r="G28" s="18">
        <f>'WMT GAAP BS with Econ Descrp.'!E55+'WMT GAAP BS with Econ Descrp.'!E56+'WMT GAAP BS with Econ Descrp.'!E57+'WMT GAAP BS with Econ Descrp.'!E58</f>
        <v>65285</v>
      </c>
      <c r="H28" s="18"/>
      <c r="I28" s="19"/>
      <c r="J28" s="5"/>
      <c r="L28" s="20"/>
    </row>
    <row r="29" spans="2:12" ht="13.5" thickBot="1">
      <c r="B29" s="4"/>
      <c r="C29" s="14" t="s">
        <v>24</v>
      </c>
      <c r="D29" s="6"/>
      <c r="E29" s="26">
        <f>E23+E26+E28</f>
        <v>213290.10309533984</v>
      </c>
      <c r="F29" s="6"/>
      <c r="G29" s="26">
        <f>G23+G26+G28</f>
        <v>109694</v>
      </c>
      <c r="H29" s="18"/>
      <c r="I29" s="19"/>
      <c r="J29" s="5"/>
      <c r="L29" s="9"/>
    </row>
    <row r="30" spans="2:12" ht="13.5" thickTop="1">
      <c r="B30" s="4"/>
      <c r="C30" s="16"/>
      <c r="D30" s="6"/>
      <c r="E30" s="18"/>
      <c r="F30" s="6"/>
      <c r="G30" s="18"/>
      <c r="H30" s="18"/>
      <c r="I30" s="18"/>
      <c r="J30" s="5"/>
      <c r="L30" s="9"/>
    </row>
    <row r="31" spans="2:12" ht="12.75">
      <c r="B31" s="4"/>
      <c r="C31" s="6"/>
      <c r="D31" s="6"/>
      <c r="E31" s="18"/>
      <c r="F31" s="6"/>
      <c r="G31" s="18"/>
      <c r="H31" s="18"/>
      <c r="I31" s="27"/>
      <c r="J31" s="5"/>
      <c r="L31" s="9"/>
    </row>
    <row r="32" spans="2:12" ht="12.75">
      <c r="B32" s="4"/>
      <c r="C32" s="28" t="s">
        <v>25</v>
      </c>
      <c r="D32" s="29"/>
      <c r="E32" s="30"/>
      <c r="F32" s="29"/>
      <c r="G32" s="30"/>
      <c r="H32" s="31"/>
      <c r="I32" s="18"/>
      <c r="J32" s="5"/>
      <c r="L32" s="9"/>
    </row>
    <row r="33" spans="2:12" ht="12.75">
      <c r="B33" s="4"/>
      <c r="C33" s="32" t="s">
        <v>26</v>
      </c>
      <c r="D33" s="33"/>
      <c r="E33" s="34"/>
      <c r="F33" s="33"/>
      <c r="G33" s="34"/>
      <c r="H33" s="35"/>
      <c r="I33" s="18"/>
      <c r="J33" s="5"/>
      <c r="L33" s="9"/>
    </row>
    <row r="34" spans="2:12" ht="12.75">
      <c r="B34" s="4"/>
      <c r="C34" s="36"/>
      <c r="D34" s="33"/>
      <c r="E34" s="37"/>
      <c r="F34" s="33"/>
      <c r="G34" s="37"/>
      <c r="H34" s="35"/>
      <c r="I34" s="18"/>
      <c r="J34" s="5"/>
      <c r="L34" s="9"/>
    </row>
    <row r="35" spans="2:12" ht="12.75">
      <c r="B35" s="4"/>
      <c r="C35" s="32" t="s">
        <v>27</v>
      </c>
      <c r="D35" s="33"/>
      <c r="E35" s="34"/>
      <c r="F35" s="33"/>
      <c r="G35" s="34"/>
      <c r="H35" s="35"/>
      <c r="I35" s="19"/>
      <c r="J35" s="5"/>
      <c r="L35" s="20"/>
    </row>
    <row r="36" spans="2:10" ht="12.75">
      <c r="B36" s="4"/>
      <c r="C36" s="32" t="s">
        <v>13</v>
      </c>
      <c r="D36" s="33"/>
      <c r="E36" s="34">
        <f>E16</f>
        <v>213290.23526296316</v>
      </c>
      <c r="F36" s="33"/>
      <c r="G36" s="34">
        <f>G16</f>
        <v>109694</v>
      </c>
      <c r="H36" s="35"/>
      <c r="I36" s="19"/>
      <c r="J36" s="5"/>
    </row>
    <row r="37" spans="2:12" ht="12.75">
      <c r="B37" s="4"/>
      <c r="C37" s="32" t="s">
        <v>28</v>
      </c>
      <c r="D37" s="33"/>
      <c r="E37" s="34">
        <f>E23</f>
        <v>42218</v>
      </c>
      <c r="F37" s="33"/>
      <c r="G37" s="34">
        <f>G23</f>
        <v>42218</v>
      </c>
      <c r="H37" s="35"/>
      <c r="I37" s="19"/>
      <c r="J37" s="5"/>
      <c r="L37" s="10"/>
    </row>
    <row r="38" spans="2:10" ht="12.75">
      <c r="B38" s="4"/>
      <c r="C38" s="32" t="s">
        <v>29</v>
      </c>
      <c r="D38" s="33"/>
      <c r="E38" s="38">
        <f>E36-E37</f>
        <v>171072.23526296316</v>
      </c>
      <c r="F38" s="33"/>
      <c r="G38" s="38">
        <f>G36-G37</f>
        <v>67476</v>
      </c>
      <c r="H38" s="35"/>
      <c r="I38" s="19"/>
      <c r="J38" s="5"/>
    </row>
    <row r="39" spans="2:10" ht="12.75">
      <c r="B39" s="4"/>
      <c r="C39" s="32"/>
      <c r="D39" s="33"/>
      <c r="E39" s="34"/>
      <c r="F39" s="33"/>
      <c r="G39" s="34"/>
      <c r="H39" s="35"/>
      <c r="I39" s="19"/>
      <c r="J39" s="5"/>
    </row>
    <row r="40" spans="2:10" ht="12.75">
      <c r="B40" s="4"/>
      <c r="C40" s="32" t="s">
        <v>30</v>
      </c>
      <c r="D40" s="33"/>
      <c r="E40" s="34"/>
      <c r="F40" s="33"/>
      <c r="G40" s="34">
        <f>G24</f>
        <v>2191</v>
      </c>
      <c r="H40" s="35"/>
      <c r="I40" s="19"/>
      <c r="J40" s="5"/>
    </row>
    <row r="41" spans="2:10" ht="12.75">
      <c r="B41" s="4"/>
      <c r="C41" s="32" t="s">
        <v>31</v>
      </c>
      <c r="D41" s="33"/>
      <c r="E41" s="34"/>
      <c r="F41" s="33"/>
      <c r="G41" s="39">
        <f>G40/G38</f>
        <v>0.032470804434169186</v>
      </c>
      <c r="H41" s="35"/>
      <c r="I41" s="19"/>
      <c r="J41" s="5"/>
    </row>
    <row r="42" spans="2:10" ht="12.75">
      <c r="B42" s="4"/>
      <c r="C42" s="40" t="s">
        <v>209</v>
      </c>
      <c r="D42" s="41"/>
      <c r="E42" s="42">
        <f>E38*G41</f>
        <v>5554.853095339859</v>
      </c>
      <c r="F42" s="41"/>
      <c r="G42" s="43"/>
      <c r="H42" s="44"/>
      <c r="I42" s="22"/>
      <c r="J42" s="5"/>
    </row>
    <row r="43" spans="2:10" ht="13.5" thickBot="1">
      <c r="B43" s="45"/>
      <c r="C43" s="46"/>
      <c r="D43" s="46"/>
      <c r="E43" s="46"/>
      <c r="F43" s="46"/>
      <c r="G43" s="46"/>
      <c r="H43" s="46"/>
      <c r="I43" s="46"/>
      <c r="J43" s="47"/>
    </row>
  </sheetData>
  <sheetProtection/>
  <mergeCells count="3">
    <mergeCell ref="B1:J1"/>
    <mergeCell ref="C3:I3"/>
    <mergeCell ref="C4:I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62"/>
  <sheetViews>
    <sheetView zoomScale="75" zoomScaleNormal="75" zoomScalePageLayoutView="0" workbookViewId="0" topLeftCell="A1">
      <selection activeCell="J37" sqref="J37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71.421875" style="0" customWidth="1"/>
    <col min="4" max="4" width="2.421875" style="0" customWidth="1"/>
    <col min="5" max="5" width="11.57421875" style="0" bestFit="1" customWidth="1"/>
    <col min="6" max="6" width="2.421875" style="0" customWidth="1"/>
    <col min="7" max="7" width="11.28125" style="0" customWidth="1"/>
    <col min="8" max="8" width="3.57421875" style="0" customWidth="1"/>
    <col min="9" max="9" width="2.8515625" style="0" customWidth="1"/>
    <col min="10" max="10" width="11.57421875" style="0" bestFit="1" customWidth="1"/>
  </cols>
  <sheetData>
    <row r="1" spans="2:8" ht="13.5" thickBot="1">
      <c r="B1" s="341" t="s">
        <v>32</v>
      </c>
      <c r="C1" s="341"/>
      <c r="D1" s="341"/>
      <c r="E1" s="341"/>
      <c r="F1" s="341"/>
      <c r="G1" s="341"/>
      <c r="H1" s="341"/>
    </row>
    <row r="2" spans="2:8" ht="7.5" customHeight="1">
      <c r="B2" s="1"/>
      <c r="C2" s="2"/>
      <c r="D2" s="2"/>
      <c r="E2" s="2"/>
      <c r="F2" s="2"/>
      <c r="G2" s="2"/>
      <c r="H2" s="3"/>
    </row>
    <row r="3" spans="2:8" ht="12.75">
      <c r="B3" s="4"/>
      <c r="C3" s="342" t="s">
        <v>1</v>
      </c>
      <c r="D3" s="342"/>
      <c r="E3" s="342"/>
      <c r="F3" s="342"/>
      <c r="G3" s="342"/>
      <c r="H3" s="5"/>
    </row>
    <row r="4" spans="2:8" ht="12.75">
      <c r="B4" s="4"/>
      <c r="C4" s="342" t="s">
        <v>33</v>
      </c>
      <c r="D4" s="342"/>
      <c r="E4" s="342"/>
      <c r="F4" s="342"/>
      <c r="G4" s="342"/>
      <c r="H4" s="5"/>
    </row>
    <row r="5" spans="2:8" ht="12.75">
      <c r="B5" s="4"/>
      <c r="C5" s="6"/>
      <c r="D5" s="6"/>
      <c r="E5" s="6"/>
      <c r="F5" s="6"/>
      <c r="G5" s="6"/>
      <c r="H5" s="5"/>
    </row>
    <row r="6" spans="2:8" ht="12.75">
      <c r="B6" s="4"/>
      <c r="C6" s="7" t="s">
        <v>3</v>
      </c>
      <c r="D6" s="6"/>
      <c r="E6" s="8" t="s">
        <v>5</v>
      </c>
      <c r="F6" s="6"/>
      <c r="G6" s="8"/>
      <c r="H6" s="5"/>
    </row>
    <row r="7" spans="2:8" ht="12.75">
      <c r="B7" s="4"/>
      <c r="C7" s="11" t="s">
        <v>6</v>
      </c>
      <c r="D7" s="6"/>
      <c r="E7" s="13">
        <v>2009</v>
      </c>
      <c r="F7" s="8"/>
      <c r="G7" s="8"/>
      <c r="H7" s="5"/>
    </row>
    <row r="8" spans="2:8" ht="12.75">
      <c r="B8" s="4"/>
      <c r="C8" s="14" t="s">
        <v>34</v>
      </c>
      <c r="D8" s="6"/>
      <c r="E8" s="6"/>
      <c r="F8" s="6"/>
      <c r="G8" s="6"/>
      <c r="H8" s="5"/>
    </row>
    <row r="9" spans="2:10" ht="12.75">
      <c r="B9" s="4"/>
      <c r="C9" s="24" t="s">
        <v>35</v>
      </c>
      <c r="D9" s="6"/>
      <c r="E9" s="17"/>
      <c r="F9" s="18"/>
      <c r="G9" s="17"/>
      <c r="H9" s="5"/>
      <c r="J9" s="61" t="s">
        <v>205</v>
      </c>
    </row>
    <row r="10" spans="2:11" ht="12.75">
      <c r="B10" s="4"/>
      <c r="C10" s="6" t="s">
        <v>36</v>
      </c>
      <c r="D10" s="6"/>
      <c r="E10" s="17">
        <v>7275</v>
      </c>
      <c r="F10" s="18"/>
      <c r="G10" s="19" t="s">
        <v>37</v>
      </c>
      <c r="H10" s="5"/>
      <c r="J10" s="49">
        <f>E10+E11+E12+E13+E24+E29+E31</f>
        <v>159667</v>
      </c>
      <c r="K10" t="s">
        <v>115</v>
      </c>
    </row>
    <row r="11" spans="2:11" ht="15">
      <c r="B11" s="4"/>
      <c r="C11" s="6" t="s">
        <v>38</v>
      </c>
      <c r="D11" s="6"/>
      <c r="E11" s="18">
        <v>3905</v>
      </c>
      <c r="F11" s="18"/>
      <c r="G11" s="19" t="s">
        <v>37</v>
      </c>
      <c r="H11" s="5"/>
      <c r="J11" s="64">
        <f>E38+E39+E40+E48</f>
        <v>53652</v>
      </c>
      <c r="K11" t="s">
        <v>116</v>
      </c>
    </row>
    <row r="12" spans="2:11" ht="12.75">
      <c r="B12" s="4"/>
      <c r="C12" s="6" t="s">
        <v>39</v>
      </c>
      <c r="D12" s="6"/>
      <c r="E12" s="18">
        <v>34511</v>
      </c>
      <c r="F12" s="18"/>
      <c r="G12" s="19" t="s">
        <v>37</v>
      </c>
      <c r="H12" s="5"/>
      <c r="J12" s="49">
        <f>J10-J11</f>
        <v>106015</v>
      </c>
      <c r="K12" t="s">
        <v>117</v>
      </c>
    </row>
    <row r="13" spans="2:8" ht="12.75">
      <c r="B13" s="4"/>
      <c r="C13" s="16" t="s">
        <v>40</v>
      </c>
      <c r="D13" s="6"/>
      <c r="E13" s="18">
        <v>3063</v>
      </c>
      <c r="F13" s="18"/>
      <c r="G13" s="19" t="s">
        <v>37</v>
      </c>
      <c r="H13" s="5"/>
    </row>
    <row r="14" spans="2:11" ht="12.75">
      <c r="B14" s="4"/>
      <c r="C14" s="16" t="s">
        <v>41</v>
      </c>
      <c r="D14" s="6"/>
      <c r="E14" s="48">
        <v>195</v>
      </c>
      <c r="F14" s="18"/>
      <c r="G14" s="22" t="s">
        <v>42</v>
      </c>
      <c r="H14" s="5"/>
      <c r="J14" s="49">
        <f>E14+E32</f>
        <v>3762</v>
      </c>
      <c r="K14" t="s">
        <v>118</v>
      </c>
    </row>
    <row r="15" spans="2:11" ht="15">
      <c r="B15" s="4"/>
      <c r="C15" s="16" t="s">
        <v>43</v>
      </c>
      <c r="D15" s="6"/>
      <c r="E15" s="18">
        <f>SUM(E10:E14)</f>
        <v>48949</v>
      </c>
      <c r="F15" s="18"/>
      <c r="G15" s="18"/>
      <c r="H15" s="5"/>
      <c r="J15" s="64">
        <f>E43</f>
        <v>83</v>
      </c>
      <c r="K15" t="s">
        <v>119</v>
      </c>
    </row>
    <row r="16" spans="2:11" ht="12.75">
      <c r="B16" s="4"/>
      <c r="C16" s="14"/>
      <c r="D16" s="6"/>
      <c r="E16" s="18"/>
      <c r="F16" s="18"/>
      <c r="G16" s="18"/>
      <c r="H16" s="5"/>
      <c r="J16" s="49">
        <f>J14-J15</f>
        <v>3679</v>
      </c>
      <c r="K16" t="s">
        <v>120</v>
      </c>
    </row>
    <row r="17" spans="2:8" ht="12.75">
      <c r="B17" s="4"/>
      <c r="C17" s="24" t="s">
        <v>44</v>
      </c>
      <c r="D17" s="6"/>
      <c r="E17" s="18"/>
      <c r="F17" s="18"/>
      <c r="G17" s="18"/>
      <c r="H17" s="5"/>
    </row>
    <row r="18" spans="2:11" ht="12.75">
      <c r="B18" s="4"/>
      <c r="C18" s="16" t="s">
        <v>45</v>
      </c>
      <c r="D18" s="6"/>
      <c r="E18" s="18">
        <v>19852</v>
      </c>
      <c r="F18" s="18"/>
      <c r="G18" s="19" t="s">
        <v>37</v>
      </c>
      <c r="H18" s="5"/>
      <c r="J18" s="55">
        <f>J12+J16</f>
        <v>109694</v>
      </c>
      <c r="K18" t="s">
        <v>121</v>
      </c>
    </row>
    <row r="19" spans="2:8" ht="12.75">
      <c r="B19" s="4"/>
      <c r="C19" s="6" t="s">
        <v>46</v>
      </c>
      <c r="D19" s="6"/>
      <c r="E19" s="18">
        <v>73810</v>
      </c>
      <c r="F19" s="18"/>
      <c r="G19" s="19" t="s">
        <v>37</v>
      </c>
      <c r="H19" s="5"/>
    </row>
    <row r="20" spans="2:11" ht="12.75">
      <c r="B20" s="4"/>
      <c r="C20" s="6" t="s">
        <v>47</v>
      </c>
      <c r="D20" s="6"/>
      <c r="E20" s="18">
        <v>29851</v>
      </c>
      <c r="F20" s="18"/>
      <c r="G20" s="19" t="s">
        <v>37</v>
      </c>
      <c r="H20" s="5"/>
      <c r="J20" s="49">
        <f>E37+E41+E42+E46+E47</f>
        <v>42218</v>
      </c>
      <c r="K20" t="s">
        <v>62</v>
      </c>
    </row>
    <row r="21" spans="2:11" ht="15">
      <c r="B21" s="4"/>
      <c r="C21" s="16" t="s">
        <v>48</v>
      </c>
      <c r="D21" s="6"/>
      <c r="E21" s="48">
        <v>2307</v>
      </c>
      <c r="F21" s="18"/>
      <c r="G21" s="19" t="s">
        <v>37</v>
      </c>
      <c r="H21" s="5"/>
      <c r="J21" s="64">
        <f>E49+E53</f>
        <v>2191</v>
      </c>
      <c r="K21" t="s">
        <v>73</v>
      </c>
    </row>
    <row r="22" spans="2:11" ht="12.75">
      <c r="B22" s="4"/>
      <c r="C22" s="16" t="s">
        <v>49</v>
      </c>
      <c r="D22" s="6"/>
      <c r="E22" s="18">
        <f>SUM(E18:E21)</f>
        <v>125820</v>
      </c>
      <c r="F22" s="18"/>
      <c r="G22" s="19" t="s">
        <v>37</v>
      </c>
      <c r="H22" s="5"/>
      <c r="J22" s="49">
        <f>J20+J21</f>
        <v>44409</v>
      </c>
      <c r="K22" t="s">
        <v>122</v>
      </c>
    </row>
    <row r="23" spans="2:8" ht="12.75">
      <c r="B23" s="4"/>
      <c r="C23" s="16" t="s">
        <v>50</v>
      </c>
      <c r="D23" s="6"/>
      <c r="E23" s="48">
        <v>-32964</v>
      </c>
      <c r="F23" s="18"/>
      <c r="G23" s="19" t="s">
        <v>37</v>
      </c>
      <c r="H23" s="5"/>
    </row>
    <row r="24" spans="2:11" ht="12.75">
      <c r="B24" s="4"/>
      <c r="C24" s="16" t="s">
        <v>51</v>
      </c>
      <c r="D24" s="6"/>
      <c r="E24" s="18">
        <f>E22+E23</f>
        <v>92856</v>
      </c>
      <c r="F24" s="18"/>
      <c r="G24" s="19" t="s">
        <v>37</v>
      </c>
      <c r="H24" s="5"/>
      <c r="J24" s="15">
        <f>E55+E56+E57+E58</f>
        <v>65285</v>
      </c>
      <c r="K24" t="s">
        <v>123</v>
      </c>
    </row>
    <row r="25" spans="2:8" ht="12.75">
      <c r="B25" s="4"/>
      <c r="C25" s="16"/>
      <c r="D25" s="6"/>
      <c r="E25" s="18"/>
      <c r="F25" s="18"/>
      <c r="G25" s="18"/>
      <c r="H25" s="5"/>
    </row>
    <row r="26" spans="2:11" ht="12.75">
      <c r="B26" s="4"/>
      <c r="C26" s="24" t="s">
        <v>52</v>
      </c>
      <c r="D26" s="6"/>
      <c r="E26" s="18"/>
      <c r="F26" s="18"/>
      <c r="G26" s="18"/>
      <c r="H26" s="5"/>
      <c r="J26" s="55">
        <f>J22+J24</f>
        <v>109694</v>
      </c>
      <c r="K26" t="s">
        <v>124</v>
      </c>
    </row>
    <row r="27" spans="2:8" ht="12.75">
      <c r="B27" s="4"/>
      <c r="C27" s="16" t="s">
        <v>53</v>
      </c>
      <c r="D27" s="6"/>
      <c r="E27" s="18">
        <v>5341</v>
      </c>
      <c r="F27" s="18"/>
      <c r="G27" s="19" t="s">
        <v>37</v>
      </c>
      <c r="H27" s="5"/>
    </row>
    <row r="28" spans="2:11" ht="12.75">
      <c r="B28" s="4"/>
      <c r="C28" s="16" t="s">
        <v>54</v>
      </c>
      <c r="D28" s="6"/>
      <c r="E28" s="48">
        <v>-2544</v>
      </c>
      <c r="F28" s="18"/>
      <c r="G28" s="19" t="s">
        <v>37</v>
      </c>
      <c r="H28" s="5"/>
      <c r="J28" s="49">
        <f>J18-J26</f>
        <v>0</v>
      </c>
      <c r="K28" t="s">
        <v>125</v>
      </c>
    </row>
    <row r="29" spans="2:10" ht="12.75">
      <c r="B29" s="4"/>
      <c r="C29" s="16" t="s">
        <v>55</v>
      </c>
      <c r="D29" s="6"/>
      <c r="E29" s="18">
        <f>E27+E28</f>
        <v>2797</v>
      </c>
      <c r="F29" s="18"/>
      <c r="G29" s="19" t="s">
        <v>37</v>
      </c>
      <c r="H29" s="5"/>
      <c r="J29" s="49"/>
    </row>
    <row r="30" spans="2:10" ht="12.75">
      <c r="B30" s="4"/>
      <c r="C30" s="6"/>
      <c r="D30" s="6"/>
      <c r="E30" s="18"/>
      <c r="F30" s="18"/>
      <c r="G30" s="18"/>
      <c r="H30" s="5"/>
      <c r="J30" s="15"/>
    </row>
    <row r="31" spans="2:10" ht="12.75">
      <c r="B31" s="4"/>
      <c r="C31" s="16" t="s">
        <v>56</v>
      </c>
      <c r="D31" s="6"/>
      <c r="E31" s="18">
        <v>15260</v>
      </c>
      <c r="F31" s="18"/>
      <c r="G31" s="19" t="s">
        <v>37</v>
      </c>
      <c r="H31" s="5"/>
      <c r="J31" s="49"/>
    </row>
    <row r="32" spans="2:11" ht="12.75">
      <c r="B32" s="4"/>
      <c r="C32" s="16" t="s">
        <v>57</v>
      </c>
      <c r="D32" s="6"/>
      <c r="E32" s="18">
        <v>3567</v>
      </c>
      <c r="F32" s="18"/>
      <c r="G32" s="22" t="s">
        <v>42</v>
      </c>
      <c r="H32" s="5"/>
      <c r="J32" s="49"/>
      <c r="K32" s="50"/>
    </row>
    <row r="33" spans="2:11" ht="13.5" thickBot="1">
      <c r="B33" s="4"/>
      <c r="C33" s="51" t="s">
        <v>58</v>
      </c>
      <c r="D33" s="52"/>
      <c r="E33" s="53">
        <f>E15+E24+E29+E31+E32</f>
        <v>163429</v>
      </c>
      <c r="F33" s="54"/>
      <c r="G33" s="27"/>
      <c r="H33" s="5"/>
      <c r="J33" s="15"/>
      <c r="K33" s="50"/>
    </row>
    <row r="34" spans="2:11" ht="13.5" thickTop="1">
      <c r="B34" s="4"/>
      <c r="C34" s="6"/>
      <c r="D34" s="6"/>
      <c r="E34" s="18"/>
      <c r="F34" s="18"/>
      <c r="G34" s="18"/>
      <c r="H34" s="5"/>
      <c r="J34" s="55"/>
      <c r="K34" s="50"/>
    </row>
    <row r="35" spans="2:11" ht="12.75">
      <c r="B35" s="4"/>
      <c r="C35" s="14" t="s">
        <v>59</v>
      </c>
      <c r="D35" s="6"/>
      <c r="E35" s="18"/>
      <c r="F35" s="18"/>
      <c r="G35" s="18"/>
      <c r="H35" s="5"/>
      <c r="K35" s="50"/>
    </row>
    <row r="36" spans="2:11" ht="12.75">
      <c r="B36" s="4"/>
      <c r="C36" s="7" t="s">
        <v>60</v>
      </c>
      <c r="D36" s="6"/>
      <c r="E36" s="18"/>
      <c r="F36" s="18"/>
      <c r="G36" s="18"/>
      <c r="H36" s="5"/>
      <c r="J36" s="49"/>
      <c r="K36" s="50"/>
    </row>
    <row r="37" spans="2:11" ht="12.75">
      <c r="B37" s="4"/>
      <c r="C37" s="16" t="s">
        <v>61</v>
      </c>
      <c r="D37" s="6"/>
      <c r="E37" s="17">
        <v>1506</v>
      </c>
      <c r="F37" s="18"/>
      <c r="G37" s="19" t="s">
        <v>62</v>
      </c>
      <c r="H37" s="5"/>
      <c r="J37" s="15"/>
      <c r="K37" s="50"/>
    </row>
    <row r="38" spans="2:11" ht="12.75">
      <c r="B38" s="4"/>
      <c r="C38" s="16" t="s">
        <v>85</v>
      </c>
      <c r="D38" s="6"/>
      <c r="E38" s="18">
        <v>28849</v>
      </c>
      <c r="F38" s="18"/>
      <c r="G38" s="19" t="s">
        <v>37</v>
      </c>
      <c r="H38" s="5"/>
      <c r="J38" s="15"/>
      <c r="K38" s="50"/>
    </row>
    <row r="39" spans="2:10" ht="12.75">
      <c r="B39" s="4"/>
      <c r="C39" s="16" t="s">
        <v>63</v>
      </c>
      <c r="D39" s="6"/>
      <c r="E39" s="18">
        <v>18112</v>
      </c>
      <c r="F39" s="18"/>
      <c r="G39" s="19" t="s">
        <v>37</v>
      </c>
      <c r="H39" s="5"/>
      <c r="J39" s="55"/>
    </row>
    <row r="40" spans="2:8" ht="12.75">
      <c r="B40" s="4"/>
      <c r="C40" s="16" t="s">
        <v>64</v>
      </c>
      <c r="D40" s="6"/>
      <c r="E40" s="18">
        <v>677</v>
      </c>
      <c r="F40" s="18"/>
      <c r="G40" s="19" t="s">
        <v>37</v>
      </c>
      <c r="H40" s="5"/>
    </row>
    <row r="41" spans="2:11" ht="12.75">
      <c r="B41" s="4"/>
      <c r="C41" s="16" t="s">
        <v>65</v>
      </c>
      <c r="D41" s="6"/>
      <c r="E41" s="18">
        <v>5848</v>
      </c>
      <c r="F41" s="18"/>
      <c r="G41" s="19" t="s">
        <v>62</v>
      </c>
      <c r="H41" s="5"/>
      <c r="J41" s="15"/>
      <c r="K41" s="50"/>
    </row>
    <row r="42" spans="2:10" ht="12.75">
      <c r="B42" s="4"/>
      <c r="C42" s="16" t="s">
        <v>66</v>
      </c>
      <c r="D42" s="6"/>
      <c r="E42" s="18">
        <v>315</v>
      </c>
      <c r="F42" s="18"/>
      <c r="G42" s="19" t="s">
        <v>62</v>
      </c>
      <c r="H42" s="5"/>
      <c r="J42" s="15"/>
    </row>
    <row r="43" spans="2:10" ht="12.75">
      <c r="B43" s="4"/>
      <c r="C43" s="16" t="s">
        <v>67</v>
      </c>
      <c r="D43" s="6"/>
      <c r="E43" s="48">
        <v>83</v>
      </c>
      <c r="F43" s="18"/>
      <c r="G43" s="22" t="s">
        <v>42</v>
      </c>
      <c r="H43" s="5"/>
      <c r="J43" s="10"/>
    </row>
    <row r="44" spans="2:8" ht="12.75">
      <c r="B44" s="4"/>
      <c r="C44" s="16" t="s">
        <v>68</v>
      </c>
      <c r="D44" s="6"/>
      <c r="E44" s="18">
        <f>SUM(E37:E43)</f>
        <v>55390</v>
      </c>
      <c r="F44" s="18"/>
      <c r="G44" s="18"/>
      <c r="H44" s="5"/>
    </row>
    <row r="45" spans="2:10" ht="12.75">
      <c r="B45" s="4"/>
      <c r="C45" s="16"/>
      <c r="D45" s="6"/>
      <c r="E45" s="18"/>
      <c r="F45" s="18"/>
      <c r="G45" s="18"/>
      <c r="H45" s="5"/>
      <c r="J45" s="55"/>
    </row>
    <row r="46" spans="2:8" ht="12.75">
      <c r="B46" s="4"/>
      <c r="C46" s="16" t="s">
        <v>69</v>
      </c>
      <c r="D46" s="6"/>
      <c r="E46" s="18">
        <v>31349</v>
      </c>
      <c r="F46" s="18"/>
      <c r="G46" s="19" t="s">
        <v>62</v>
      </c>
      <c r="H46" s="5"/>
    </row>
    <row r="47" spans="2:8" ht="12.75">
      <c r="B47" s="4"/>
      <c r="C47" s="16" t="s">
        <v>70</v>
      </c>
      <c r="D47" s="6"/>
      <c r="E47" s="18">
        <v>3200</v>
      </c>
      <c r="F47" s="18"/>
      <c r="G47" s="19" t="s">
        <v>62</v>
      </c>
      <c r="H47" s="5"/>
    </row>
    <row r="48" spans="2:10" ht="12.75">
      <c r="B48" s="4"/>
      <c r="C48" s="16" t="s">
        <v>71</v>
      </c>
      <c r="D48" s="6"/>
      <c r="E48" s="18">
        <v>6014</v>
      </c>
      <c r="F48" s="18"/>
      <c r="G48" s="19" t="s">
        <v>37</v>
      </c>
      <c r="H48" s="5"/>
      <c r="J48" s="15"/>
    </row>
    <row r="49" spans="2:10" ht="12.75">
      <c r="B49" s="4"/>
      <c r="C49" s="16" t="s">
        <v>72</v>
      </c>
      <c r="D49" s="6"/>
      <c r="E49" s="18">
        <v>2191</v>
      </c>
      <c r="F49" s="18"/>
      <c r="G49" s="22" t="s">
        <v>73</v>
      </c>
      <c r="H49" s="5"/>
      <c r="J49" s="15"/>
    </row>
    <row r="50" spans="2:10" ht="13.5" thickBot="1">
      <c r="B50" s="4"/>
      <c r="C50" s="51" t="s">
        <v>74</v>
      </c>
      <c r="D50" s="52"/>
      <c r="E50" s="53">
        <f>E44+SUM(E46:E49)</f>
        <v>98144</v>
      </c>
      <c r="F50" s="54"/>
      <c r="G50" s="27"/>
      <c r="H50" s="5"/>
      <c r="J50" s="15"/>
    </row>
    <row r="51" spans="2:8" ht="13.5" thickTop="1">
      <c r="B51" s="4"/>
      <c r="C51" s="14"/>
      <c r="D51" s="6"/>
      <c r="E51" s="27"/>
      <c r="F51" s="18"/>
      <c r="G51" s="27"/>
      <c r="H51" s="5"/>
    </row>
    <row r="52" spans="2:10" ht="12.75">
      <c r="B52" s="4"/>
      <c r="C52" s="7" t="s">
        <v>75</v>
      </c>
      <c r="D52" s="6"/>
      <c r="E52" s="27"/>
      <c r="F52" s="18"/>
      <c r="G52" s="27"/>
      <c r="H52" s="5"/>
      <c r="J52" s="15"/>
    </row>
    <row r="53" spans="2:8" ht="12.75">
      <c r="B53" s="4"/>
      <c r="C53" s="16" t="s">
        <v>76</v>
      </c>
      <c r="D53" s="6"/>
      <c r="E53" s="18">
        <v>0</v>
      </c>
      <c r="F53" s="18"/>
      <c r="G53" s="22" t="s">
        <v>73</v>
      </c>
      <c r="H53" s="5"/>
    </row>
    <row r="54" spans="2:8" ht="12.75">
      <c r="B54" s="4"/>
      <c r="C54" s="16" t="s">
        <v>77</v>
      </c>
      <c r="D54" s="6"/>
      <c r="E54" s="56"/>
      <c r="F54" s="18"/>
      <c r="G54" s="18"/>
      <c r="H54" s="5"/>
    </row>
    <row r="55" spans="2:8" ht="12.75">
      <c r="B55" s="4"/>
      <c r="C55" s="16" t="s">
        <v>78</v>
      </c>
      <c r="D55" s="6"/>
      <c r="E55" s="18">
        <v>393</v>
      </c>
      <c r="F55" s="18"/>
      <c r="G55" s="22" t="s">
        <v>79</v>
      </c>
      <c r="H55" s="5"/>
    </row>
    <row r="56" spans="2:8" ht="12.75">
      <c r="B56" s="4"/>
      <c r="C56" s="16" t="s">
        <v>80</v>
      </c>
      <c r="D56" s="6"/>
      <c r="E56" s="18">
        <v>3920</v>
      </c>
      <c r="F56" s="18"/>
      <c r="G56" s="22" t="s">
        <v>79</v>
      </c>
      <c r="H56" s="5"/>
    </row>
    <row r="57" spans="2:8" ht="12.75">
      <c r="B57" s="4"/>
      <c r="C57" s="16" t="s">
        <v>81</v>
      </c>
      <c r="D57" s="6"/>
      <c r="E57" s="18">
        <v>63660</v>
      </c>
      <c r="F57" s="18"/>
      <c r="G57" s="22" t="s">
        <v>79</v>
      </c>
      <c r="H57" s="5"/>
    </row>
    <row r="58" spans="2:8" ht="12.75">
      <c r="B58" s="4"/>
      <c r="C58" s="16" t="s">
        <v>82</v>
      </c>
      <c r="D58" s="6"/>
      <c r="E58" s="48">
        <v>-2688</v>
      </c>
      <c r="F58" s="18"/>
      <c r="G58" s="22" t="s">
        <v>79</v>
      </c>
      <c r="H58" s="5"/>
    </row>
    <row r="59" spans="2:8" ht="12.75">
      <c r="B59" s="4"/>
      <c r="C59" s="7" t="s">
        <v>83</v>
      </c>
      <c r="D59" s="7"/>
      <c r="E59" s="57">
        <f>SUM(E53:E58)</f>
        <v>65285</v>
      </c>
      <c r="F59" s="57"/>
      <c r="G59" s="22"/>
      <c r="H59" s="5"/>
    </row>
    <row r="60" spans="2:8" ht="13.5" thickBot="1">
      <c r="B60" s="4"/>
      <c r="C60" s="51" t="s">
        <v>84</v>
      </c>
      <c r="D60" s="52"/>
      <c r="E60" s="53">
        <f>E50+E59</f>
        <v>163429</v>
      </c>
      <c r="F60" s="18"/>
      <c r="G60" s="27"/>
      <c r="H60" s="5"/>
    </row>
    <row r="61" spans="2:8" ht="14.25" thickBot="1" thickTop="1">
      <c r="B61" s="45"/>
      <c r="C61" s="46"/>
      <c r="D61" s="46"/>
      <c r="E61" s="46"/>
      <c r="F61" s="46"/>
      <c r="G61" s="46"/>
      <c r="H61" s="47"/>
    </row>
    <row r="62" spans="5:7" ht="12.75">
      <c r="E62" s="49"/>
      <c r="G62" s="49"/>
    </row>
  </sheetData>
  <sheetProtection/>
  <mergeCells count="3">
    <mergeCell ref="B1:H1"/>
    <mergeCell ref="C3:G3"/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="75" zoomScaleNormal="75" zoomScalePageLayoutView="0" workbookViewId="0" topLeftCell="A1">
      <selection activeCell="I63" sqref="I63"/>
    </sheetView>
  </sheetViews>
  <sheetFormatPr defaultColWidth="9.140625" defaultRowHeight="12.75"/>
  <cols>
    <col min="1" max="1" width="2.28125" style="0" customWidth="1"/>
    <col min="2" max="2" width="2.140625" style="0" customWidth="1"/>
    <col min="3" max="3" width="71.421875" style="0" customWidth="1"/>
    <col min="4" max="4" width="1.1484375" style="0" customWidth="1"/>
    <col min="5" max="5" width="11.57421875" style="0" bestFit="1" customWidth="1"/>
    <col min="6" max="6" width="1.1484375" style="0" customWidth="1"/>
    <col min="7" max="7" width="11.140625" style="0" bestFit="1" customWidth="1"/>
    <col min="8" max="8" width="1.1484375" style="0" customWidth="1"/>
    <col min="9" max="9" width="11.140625" style="0" bestFit="1" customWidth="1"/>
    <col min="10" max="10" width="0.9921875" style="0" customWidth="1"/>
    <col min="11" max="11" width="11.140625" style="0" customWidth="1"/>
    <col min="12" max="12" width="0.9921875" style="0" customWidth="1"/>
    <col min="13" max="13" width="11.140625" style="0" customWidth="1"/>
    <col min="14" max="14" width="2.8515625" style="0" customWidth="1"/>
  </cols>
  <sheetData>
    <row r="1" spans="2:14" ht="13.5" thickBot="1">
      <c r="B1" s="341" t="s">
        <v>114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2:14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342" t="s">
        <v>1</v>
      </c>
      <c r="D3" s="342"/>
      <c r="E3" s="342"/>
      <c r="F3" s="342"/>
      <c r="G3" s="342"/>
      <c r="H3" s="342"/>
      <c r="I3" s="342"/>
      <c r="J3" s="343"/>
      <c r="K3" s="343"/>
      <c r="L3" s="343"/>
      <c r="M3" s="343"/>
      <c r="N3" s="5"/>
    </row>
    <row r="4" spans="2:14" ht="12.75">
      <c r="B4" s="4"/>
      <c r="C4" s="342" t="s">
        <v>33</v>
      </c>
      <c r="D4" s="342"/>
      <c r="E4" s="342"/>
      <c r="F4" s="342"/>
      <c r="G4" s="342"/>
      <c r="H4" s="342"/>
      <c r="I4" s="342"/>
      <c r="J4" s="343"/>
      <c r="K4" s="343"/>
      <c r="L4" s="343"/>
      <c r="M4" s="343"/>
      <c r="N4" s="5"/>
    </row>
    <row r="5" spans="2:14" ht="12.75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</row>
    <row r="6" spans="2:14" ht="12.75">
      <c r="B6" s="4"/>
      <c r="C6" s="7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2:14" ht="12.75">
      <c r="B7" s="4"/>
      <c r="C7" s="11" t="s">
        <v>6</v>
      </c>
      <c r="D7" s="6"/>
      <c r="E7" s="13">
        <v>2009</v>
      </c>
      <c r="F7" s="8"/>
      <c r="G7" s="13">
        <v>2008</v>
      </c>
      <c r="H7" s="8"/>
      <c r="I7" s="13">
        <v>2007</v>
      </c>
      <c r="J7" s="8"/>
      <c r="K7" s="13">
        <v>2006</v>
      </c>
      <c r="L7" s="8"/>
      <c r="M7" s="13">
        <v>2005</v>
      </c>
      <c r="N7" s="5"/>
    </row>
    <row r="8" spans="2:14" ht="12.75">
      <c r="B8" s="4"/>
      <c r="C8" s="14" t="s">
        <v>34</v>
      </c>
      <c r="D8" s="6"/>
      <c r="E8" s="6"/>
      <c r="F8" s="6"/>
      <c r="G8" s="6"/>
      <c r="H8" s="6"/>
      <c r="I8" s="6"/>
      <c r="J8" s="6"/>
      <c r="K8" s="6"/>
      <c r="L8" s="6"/>
      <c r="M8" s="6"/>
      <c r="N8" s="5"/>
    </row>
    <row r="9" spans="2:14" ht="12.75">
      <c r="B9" s="4"/>
      <c r="C9" s="24" t="s">
        <v>35</v>
      </c>
      <c r="D9" s="6"/>
      <c r="E9" s="17"/>
      <c r="F9" s="18"/>
      <c r="G9" s="17"/>
      <c r="H9" s="18"/>
      <c r="I9" s="17"/>
      <c r="J9" s="18"/>
      <c r="K9" s="17"/>
      <c r="L9" s="17"/>
      <c r="M9" s="17"/>
      <c r="N9" s="5"/>
    </row>
    <row r="10" spans="2:14" ht="12.75">
      <c r="B10" s="4"/>
      <c r="C10" s="6" t="s">
        <v>36</v>
      </c>
      <c r="D10" s="6"/>
      <c r="E10" s="17">
        <v>7275</v>
      </c>
      <c r="F10" s="18"/>
      <c r="G10" s="17">
        <v>5492</v>
      </c>
      <c r="H10" s="18"/>
      <c r="I10" s="17">
        <v>7767</v>
      </c>
      <c r="J10" s="18"/>
      <c r="K10" s="17">
        <v>6414</v>
      </c>
      <c r="L10" s="17"/>
      <c r="M10" s="17">
        <v>5488</v>
      </c>
      <c r="N10" s="5"/>
    </row>
    <row r="11" spans="2:14" ht="12.75">
      <c r="B11" s="4"/>
      <c r="C11" s="6" t="s">
        <v>38</v>
      </c>
      <c r="D11" s="6"/>
      <c r="E11" s="18">
        <v>3905</v>
      </c>
      <c r="F11" s="18"/>
      <c r="G11" s="18">
        <v>3642</v>
      </c>
      <c r="H11" s="18"/>
      <c r="I11" s="18">
        <v>2840</v>
      </c>
      <c r="J11" s="18"/>
      <c r="K11" s="18">
        <v>2662</v>
      </c>
      <c r="L11" s="18"/>
      <c r="M11" s="18">
        <v>1715</v>
      </c>
      <c r="N11" s="5"/>
    </row>
    <row r="12" spans="2:14" ht="12.75">
      <c r="B12" s="4"/>
      <c r="C12" s="6" t="s">
        <v>39</v>
      </c>
      <c r="D12" s="6"/>
      <c r="E12" s="18">
        <v>34511</v>
      </c>
      <c r="F12" s="18"/>
      <c r="G12" s="18">
        <v>35159</v>
      </c>
      <c r="H12" s="18"/>
      <c r="I12" s="18">
        <v>33685</v>
      </c>
      <c r="J12" s="18"/>
      <c r="K12" s="18">
        <v>32191</v>
      </c>
      <c r="L12" s="18"/>
      <c r="M12" s="18">
        <v>29762</v>
      </c>
      <c r="N12" s="5"/>
    </row>
    <row r="13" spans="2:14" ht="12.75">
      <c r="B13" s="4"/>
      <c r="C13" s="16" t="s">
        <v>40</v>
      </c>
      <c r="D13" s="6"/>
      <c r="E13" s="18">
        <v>3063</v>
      </c>
      <c r="F13" s="18"/>
      <c r="G13" s="18">
        <v>2760</v>
      </c>
      <c r="H13" s="18"/>
      <c r="I13" s="18">
        <v>2690</v>
      </c>
      <c r="J13" s="18"/>
      <c r="K13" s="18">
        <v>2557</v>
      </c>
      <c r="L13" s="18"/>
      <c r="M13" s="18">
        <v>1889</v>
      </c>
      <c r="N13" s="5"/>
    </row>
    <row r="14" spans="2:14" ht="12.75">
      <c r="B14" s="4"/>
      <c r="C14" s="16" t="s">
        <v>41</v>
      </c>
      <c r="D14" s="6"/>
      <c r="E14" s="48">
        <v>195</v>
      </c>
      <c r="F14" s="18"/>
      <c r="G14" s="48">
        <v>967</v>
      </c>
      <c r="H14" s="18"/>
      <c r="I14" s="48">
        <v>0</v>
      </c>
      <c r="J14" s="18"/>
      <c r="K14" s="48">
        <v>0</v>
      </c>
      <c r="L14" s="18"/>
      <c r="M14" s="48"/>
      <c r="N14" s="5"/>
    </row>
    <row r="15" spans="2:14" ht="12.75">
      <c r="B15" s="4"/>
      <c r="C15" s="16" t="s">
        <v>43</v>
      </c>
      <c r="D15" s="6"/>
      <c r="E15" s="18">
        <f>SUM(E10:E14)</f>
        <v>48949</v>
      </c>
      <c r="F15" s="18"/>
      <c r="G15" s="18">
        <f>SUM(G10:G14)</f>
        <v>48020</v>
      </c>
      <c r="H15" s="18"/>
      <c r="I15" s="18">
        <f>SUM(I10:I14)</f>
        <v>46982</v>
      </c>
      <c r="J15" s="18"/>
      <c r="K15" s="18">
        <f>SUM(K10:K14)</f>
        <v>43824</v>
      </c>
      <c r="L15" s="18"/>
      <c r="M15" s="18">
        <f>SUM(M10:M14)</f>
        <v>38854</v>
      </c>
      <c r="N15" s="5"/>
    </row>
    <row r="16" spans="2:14" ht="12.75">
      <c r="B16" s="4"/>
      <c r="C16" s="14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5"/>
    </row>
    <row r="17" spans="2:14" ht="12.75">
      <c r="B17" s="4"/>
      <c r="C17" s="24" t="s">
        <v>44</v>
      </c>
      <c r="D17" s="6"/>
      <c r="E17" s="18"/>
      <c r="F17" s="18"/>
      <c r="G17" s="18"/>
      <c r="H17" s="18"/>
      <c r="I17" s="18"/>
      <c r="J17" s="18"/>
      <c r="K17" s="18"/>
      <c r="L17" s="18"/>
      <c r="M17" s="18"/>
      <c r="N17" s="5"/>
    </row>
    <row r="18" spans="2:14" ht="12.75">
      <c r="B18" s="4"/>
      <c r="C18" s="16" t="s">
        <v>45</v>
      </c>
      <c r="D18" s="6"/>
      <c r="E18" s="18">
        <v>19852</v>
      </c>
      <c r="F18" s="18"/>
      <c r="G18" s="18">
        <v>19879</v>
      </c>
      <c r="H18" s="18"/>
      <c r="I18" s="18">
        <v>18612</v>
      </c>
      <c r="J18" s="18"/>
      <c r="K18" s="18">
        <v>16643</v>
      </c>
      <c r="L18" s="18"/>
      <c r="M18" s="18">
        <v>14472</v>
      </c>
      <c r="N18" s="5"/>
    </row>
    <row r="19" spans="2:14" ht="12.75">
      <c r="B19" s="4"/>
      <c r="C19" s="6" t="s">
        <v>46</v>
      </c>
      <c r="D19" s="6"/>
      <c r="E19" s="18">
        <v>73810</v>
      </c>
      <c r="F19" s="18"/>
      <c r="G19" s="18">
        <v>72141</v>
      </c>
      <c r="H19" s="18"/>
      <c r="I19" s="18">
        <v>64052</v>
      </c>
      <c r="J19" s="18"/>
      <c r="K19" s="18">
        <v>56163</v>
      </c>
      <c r="L19" s="18"/>
      <c r="M19" s="18">
        <v>46574</v>
      </c>
      <c r="N19" s="5"/>
    </row>
    <row r="20" spans="2:14" ht="12.75">
      <c r="B20" s="4"/>
      <c r="C20" s="6" t="s">
        <v>47</v>
      </c>
      <c r="D20" s="6"/>
      <c r="E20" s="18">
        <v>29851</v>
      </c>
      <c r="F20" s="18"/>
      <c r="G20" s="18">
        <v>28026</v>
      </c>
      <c r="H20" s="18"/>
      <c r="I20" s="18">
        <v>25168</v>
      </c>
      <c r="J20" s="18"/>
      <c r="K20" s="18">
        <v>22750</v>
      </c>
      <c r="L20" s="18"/>
      <c r="M20" s="18">
        <v>21461</v>
      </c>
      <c r="N20" s="5"/>
    </row>
    <row r="21" spans="2:14" ht="12.75">
      <c r="B21" s="4"/>
      <c r="C21" s="16" t="s">
        <v>48</v>
      </c>
      <c r="D21" s="6"/>
      <c r="E21" s="48">
        <v>2307</v>
      </c>
      <c r="F21" s="18"/>
      <c r="G21" s="48">
        <v>2210</v>
      </c>
      <c r="H21" s="18"/>
      <c r="I21" s="48">
        <v>1966</v>
      </c>
      <c r="J21" s="18"/>
      <c r="K21" s="48">
        <v>1746</v>
      </c>
      <c r="L21" s="18"/>
      <c r="M21" s="48">
        <v>1530</v>
      </c>
      <c r="N21" s="5"/>
    </row>
    <row r="22" spans="2:14" ht="12.75">
      <c r="B22" s="4"/>
      <c r="C22" s="16" t="s">
        <v>49</v>
      </c>
      <c r="D22" s="6"/>
      <c r="E22" s="18">
        <f>SUM(E18:E21)</f>
        <v>125820</v>
      </c>
      <c r="F22" s="18"/>
      <c r="G22" s="18">
        <f>SUM(G18:G21)</f>
        <v>122256</v>
      </c>
      <c r="H22" s="18"/>
      <c r="I22" s="22">
        <f>SUM(I18:I21)</f>
        <v>109798</v>
      </c>
      <c r="J22" s="18"/>
      <c r="K22" s="22">
        <f>SUM(K18:K21)</f>
        <v>97302</v>
      </c>
      <c r="L22" s="22"/>
      <c r="M22" s="22">
        <f>SUM(M18:M21)</f>
        <v>84037</v>
      </c>
      <c r="N22" s="5"/>
    </row>
    <row r="23" spans="2:14" ht="12.75">
      <c r="B23" s="4"/>
      <c r="C23" s="16" t="s">
        <v>50</v>
      </c>
      <c r="D23" s="6"/>
      <c r="E23" s="48">
        <v>-32964</v>
      </c>
      <c r="F23" s="18"/>
      <c r="G23" s="48">
        <v>-28531</v>
      </c>
      <c r="H23" s="18"/>
      <c r="I23" s="48">
        <v>-24408</v>
      </c>
      <c r="J23" s="18"/>
      <c r="K23" s="48">
        <v>-21427</v>
      </c>
      <c r="L23" s="18"/>
      <c r="M23" s="48">
        <v>-18637</v>
      </c>
      <c r="N23" s="5"/>
    </row>
    <row r="24" spans="2:14" ht="12.75">
      <c r="B24" s="4"/>
      <c r="C24" s="16" t="s">
        <v>51</v>
      </c>
      <c r="D24" s="6"/>
      <c r="E24" s="18">
        <f>E22+E23</f>
        <v>92856</v>
      </c>
      <c r="F24" s="18"/>
      <c r="G24" s="18">
        <f>G22+G23</f>
        <v>93725</v>
      </c>
      <c r="H24" s="18"/>
      <c r="I24" s="18">
        <f>I22+I23</f>
        <v>85390</v>
      </c>
      <c r="J24" s="18"/>
      <c r="K24" s="18">
        <f>K22+K23</f>
        <v>75875</v>
      </c>
      <c r="L24" s="18"/>
      <c r="M24" s="18">
        <f>M22+M23</f>
        <v>65400</v>
      </c>
      <c r="N24" s="5"/>
    </row>
    <row r="25" spans="2:14" ht="12.75">
      <c r="B25" s="4"/>
      <c r="C25" s="16"/>
      <c r="D25" s="6"/>
      <c r="E25" s="18"/>
      <c r="F25" s="18"/>
      <c r="G25" s="18"/>
      <c r="H25" s="18"/>
      <c r="I25" s="18"/>
      <c r="J25" s="18"/>
      <c r="K25" s="18"/>
      <c r="L25" s="18"/>
      <c r="M25" s="18"/>
      <c r="N25" s="5"/>
    </row>
    <row r="26" spans="2:14" ht="12.75">
      <c r="B26" s="4"/>
      <c r="C26" s="24" t="s">
        <v>52</v>
      </c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5"/>
    </row>
    <row r="27" spans="2:14" ht="12.75">
      <c r="B27" s="4"/>
      <c r="C27" s="16" t="s">
        <v>53</v>
      </c>
      <c r="D27" s="6"/>
      <c r="E27" s="18">
        <v>5341</v>
      </c>
      <c r="F27" s="18"/>
      <c r="G27" s="18">
        <v>5736</v>
      </c>
      <c r="H27" s="18"/>
      <c r="I27" s="18">
        <v>5392</v>
      </c>
      <c r="J27" s="18"/>
      <c r="K27" s="18">
        <v>5578</v>
      </c>
      <c r="L27" s="18"/>
      <c r="M27" s="18">
        <v>4556</v>
      </c>
      <c r="N27" s="5"/>
    </row>
    <row r="28" spans="2:14" ht="12.75">
      <c r="B28" s="4"/>
      <c r="C28" s="16" t="s">
        <v>54</v>
      </c>
      <c r="D28" s="6"/>
      <c r="E28" s="48">
        <v>-2544</v>
      </c>
      <c r="F28" s="18"/>
      <c r="G28" s="48">
        <v>-2594</v>
      </c>
      <c r="H28" s="18"/>
      <c r="I28" s="48">
        <v>-2342</v>
      </c>
      <c r="J28" s="18"/>
      <c r="K28" s="48">
        <v>-2163</v>
      </c>
      <c r="L28" s="18"/>
      <c r="M28" s="48">
        <v>-1838</v>
      </c>
      <c r="N28" s="5"/>
    </row>
    <row r="29" spans="2:14" ht="12.75">
      <c r="B29" s="4"/>
      <c r="C29" s="16" t="s">
        <v>55</v>
      </c>
      <c r="D29" s="6"/>
      <c r="E29" s="18">
        <f>E27+E28</f>
        <v>2797</v>
      </c>
      <c r="F29" s="18"/>
      <c r="G29" s="18">
        <f>G27+G28</f>
        <v>3142</v>
      </c>
      <c r="H29" s="18"/>
      <c r="I29" s="18">
        <f>I27+I28</f>
        <v>3050</v>
      </c>
      <c r="J29" s="18"/>
      <c r="K29" s="18">
        <f>K27+K28</f>
        <v>3415</v>
      </c>
      <c r="L29" s="18"/>
      <c r="M29" s="18">
        <f>M27+M28</f>
        <v>2718</v>
      </c>
      <c r="N29" s="5"/>
    </row>
    <row r="30" spans="2:14" ht="12.75">
      <c r="B30" s="4"/>
      <c r="C30" s="6"/>
      <c r="D30" s="6"/>
      <c r="E30" s="18"/>
      <c r="F30" s="18"/>
      <c r="G30" s="18"/>
      <c r="H30" s="18"/>
      <c r="I30" s="18"/>
      <c r="J30" s="18"/>
      <c r="K30" s="18"/>
      <c r="L30" s="18"/>
      <c r="M30" s="18"/>
      <c r="N30" s="5"/>
    </row>
    <row r="31" spans="2:14" ht="12.75">
      <c r="B31" s="4"/>
      <c r="C31" s="16" t="s">
        <v>56</v>
      </c>
      <c r="D31" s="6"/>
      <c r="E31" s="18">
        <v>15260</v>
      </c>
      <c r="F31" s="18"/>
      <c r="G31" s="18">
        <v>15879</v>
      </c>
      <c r="H31" s="18"/>
      <c r="I31" s="18">
        <v>13759</v>
      </c>
      <c r="J31" s="18"/>
      <c r="K31" s="18">
        <v>12188</v>
      </c>
      <c r="L31" s="18"/>
      <c r="M31" s="18">
        <v>10803</v>
      </c>
      <c r="N31" s="5"/>
    </row>
    <row r="32" spans="2:14" ht="12.75">
      <c r="B32" s="4"/>
      <c r="C32" s="16" t="s">
        <v>57</v>
      </c>
      <c r="D32" s="6"/>
      <c r="E32" s="18">
        <v>3567</v>
      </c>
      <c r="F32" s="18"/>
      <c r="G32" s="18">
        <v>2748</v>
      </c>
      <c r="H32" s="18"/>
      <c r="I32" s="18">
        <v>2406</v>
      </c>
      <c r="J32" s="18"/>
      <c r="K32" s="18">
        <v>2885</v>
      </c>
      <c r="L32" s="18"/>
      <c r="M32" s="18">
        <v>2379</v>
      </c>
      <c r="N32" s="5"/>
    </row>
    <row r="33" spans="2:14" ht="13.5" thickBot="1">
      <c r="B33" s="4"/>
      <c r="C33" s="51" t="s">
        <v>58</v>
      </c>
      <c r="D33" s="52"/>
      <c r="E33" s="53">
        <f>E15+E24+E29+E31+E32</f>
        <v>163429</v>
      </c>
      <c r="F33" s="54"/>
      <c r="G33" s="53">
        <f>G15+G24+G29+G31+G32</f>
        <v>163514</v>
      </c>
      <c r="H33" s="54"/>
      <c r="I33" s="53">
        <f>I15+I24+I29+I31+I32</f>
        <v>151587</v>
      </c>
      <c r="J33" s="54"/>
      <c r="K33" s="53">
        <f>K15+K24+K29+K31+K32</f>
        <v>138187</v>
      </c>
      <c r="L33" s="27"/>
      <c r="M33" s="53">
        <f>M15+M24+M29+M31+M32</f>
        <v>120154</v>
      </c>
      <c r="N33" s="5"/>
    </row>
    <row r="34" spans="2:14" ht="13.5" thickTop="1">
      <c r="B34" s="4"/>
      <c r="C34" s="6"/>
      <c r="D34" s="6"/>
      <c r="E34" s="18"/>
      <c r="F34" s="18"/>
      <c r="G34" s="18"/>
      <c r="H34" s="18"/>
      <c r="I34" s="18"/>
      <c r="J34" s="18"/>
      <c r="K34" s="18"/>
      <c r="L34" s="18"/>
      <c r="M34" s="18"/>
      <c r="N34" s="5"/>
    </row>
    <row r="35" spans="2:14" ht="12.75">
      <c r="B35" s="4"/>
      <c r="C35" s="14" t="s">
        <v>59</v>
      </c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5"/>
    </row>
    <row r="36" spans="2:14" ht="12.75">
      <c r="B36" s="4"/>
      <c r="C36" s="7" t="s">
        <v>60</v>
      </c>
      <c r="D36" s="6"/>
      <c r="E36" s="18"/>
      <c r="F36" s="18"/>
      <c r="G36" s="18"/>
      <c r="H36" s="18"/>
      <c r="I36" s="18"/>
      <c r="J36" s="18"/>
      <c r="K36" s="18"/>
      <c r="L36" s="18"/>
      <c r="M36" s="18"/>
      <c r="N36" s="5"/>
    </row>
    <row r="37" spans="2:14" ht="12.75">
      <c r="B37" s="4"/>
      <c r="C37" s="16" t="s">
        <v>61</v>
      </c>
      <c r="D37" s="6"/>
      <c r="E37" s="17">
        <v>1506</v>
      </c>
      <c r="F37" s="18"/>
      <c r="G37" s="17">
        <v>5040</v>
      </c>
      <c r="H37" s="18"/>
      <c r="I37" s="17">
        <v>2570</v>
      </c>
      <c r="J37" s="18"/>
      <c r="K37" s="17">
        <v>3754</v>
      </c>
      <c r="L37" s="17"/>
      <c r="M37" s="17">
        <v>3812</v>
      </c>
      <c r="N37" s="5"/>
    </row>
    <row r="38" spans="2:14" ht="12.75">
      <c r="B38" s="4"/>
      <c r="C38" s="16" t="s">
        <v>85</v>
      </c>
      <c r="D38" s="6"/>
      <c r="E38" s="18">
        <v>28849</v>
      </c>
      <c r="F38" s="18"/>
      <c r="G38" s="18">
        <v>30344</v>
      </c>
      <c r="H38" s="18"/>
      <c r="I38" s="18">
        <v>28484</v>
      </c>
      <c r="J38" s="18"/>
      <c r="K38" s="18">
        <v>25373</v>
      </c>
      <c r="L38" s="18"/>
      <c r="M38" s="18">
        <v>21987</v>
      </c>
      <c r="N38" s="5"/>
    </row>
    <row r="39" spans="2:14" ht="12.75">
      <c r="B39" s="4"/>
      <c r="C39" s="16" t="s">
        <v>63</v>
      </c>
      <c r="D39" s="6"/>
      <c r="E39" s="18">
        <v>18112</v>
      </c>
      <c r="F39" s="18"/>
      <c r="G39" s="18">
        <v>15725</v>
      </c>
      <c r="H39" s="18"/>
      <c r="I39" s="18">
        <v>14675</v>
      </c>
      <c r="J39" s="18"/>
      <c r="K39" s="18">
        <v>13465</v>
      </c>
      <c r="L39" s="18"/>
      <c r="M39" s="18">
        <v>12120</v>
      </c>
      <c r="N39" s="5"/>
    </row>
    <row r="40" spans="2:14" ht="12.75">
      <c r="B40" s="4"/>
      <c r="C40" s="16" t="s">
        <v>64</v>
      </c>
      <c r="D40" s="6"/>
      <c r="E40" s="18">
        <v>677</v>
      </c>
      <c r="F40" s="18"/>
      <c r="G40" s="18">
        <v>1000</v>
      </c>
      <c r="H40" s="18"/>
      <c r="I40" s="18">
        <v>706</v>
      </c>
      <c r="J40" s="18"/>
      <c r="K40" s="18">
        <v>1340</v>
      </c>
      <c r="L40" s="18"/>
      <c r="M40" s="18">
        <v>1281</v>
      </c>
      <c r="N40" s="5"/>
    </row>
    <row r="41" spans="2:14" ht="12.75">
      <c r="B41" s="4"/>
      <c r="C41" s="16" t="s">
        <v>65</v>
      </c>
      <c r="D41" s="6"/>
      <c r="E41" s="18">
        <v>5848</v>
      </c>
      <c r="F41" s="18"/>
      <c r="G41" s="18">
        <v>5913</v>
      </c>
      <c r="H41" s="18"/>
      <c r="I41" s="18">
        <v>5428</v>
      </c>
      <c r="J41" s="18"/>
      <c r="K41" s="18">
        <v>4595</v>
      </c>
      <c r="L41" s="18"/>
      <c r="M41" s="18">
        <v>3759</v>
      </c>
      <c r="N41" s="5"/>
    </row>
    <row r="42" spans="2:14" ht="12.75">
      <c r="B42" s="4"/>
      <c r="C42" s="16" t="s">
        <v>66</v>
      </c>
      <c r="D42" s="6"/>
      <c r="E42" s="18">
        <v>315</v>
      </c>
      <c r="F42" s="18"/>
      <c r="G42" s="18">
        <v>316</v>
      </c>
      <c r="H42" s="18"/>
      <c r="I42" s="18">
        <v>285</v>
      </c>
      <c r="J42" s="18"/>
      <c r="K42" s="18">
        <v>299</v>
      </c>
      <c r="L42" s="18"/>
      <c r="M42" s="18">
        <v>223</v>
      </c>
      <c r="N42" s="5"/>
    </row>
    <row r="43" spans="2:14" ht="12.75">
      <c r="B43" s="4"/>
      <c r="C43" s="16" t="s">
        <v>67</v>
      </c>
      <c r="D43" s="6"/>
      <c r="E43" s="48">
        <v>83</v>
      </c>
      <c r="F43" s="18"/>
      <c r="G43" s="48">
        <v>140</v>
      </c>
      <c r="H43" s="18"/>
      <c r="I43" s="48">
        <v>0</v>
      </c>
      <c r="J43" s="18"/>
      <c r="K43" s="48">
        <v>0</v>
      </c>
      <c r="L43" s="18"/>
      <c r="M43" s="48">
        <v>0</v>
      </c>
      <c r="N43" s="5"/>
    </row>
    <row r="44" spans="2:14" ht="12.75">
      <c r="B44" s="4"/>
      <c r="C44" s="16" t="s">
        <v>68</v>
      </c>
      <c r="D44" s="6"/>
      <c r="E44" s="18">
        <f>SUM(E37:E43)</f>
        <v>55390</v>
      </c>
      <c r="F44" s="18"/>
      <c r="G44" s="18">
        <f>SUM(G37:G43)</f>
        <v>58478</v>
      </c>
      <c r="H44" s="18"/>
      <c r="I44" s="18">
        <f>SUM(I37:I43)</f>
        <v>52148</v>
      </c>
      <c r="J44" s="18"/>
      <c r="K44" s="18">
        <f>SUM(K37:K43)</f>
        <v>48826</v>
      </c>
      <c r="L44" s="18"/>
      <c r="M44" s="18">
        <f>SUM(M37:M43)</f>
        <v>43182</v>
      </c>
      <c r="N44" s="5"/>
    </row>
    <row r="45" spans="2:14" ht="12.75">
      <c r="B45" s="4"/>
      <c r="C45" s="16"/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5"/>
    </row>
    <row r="46" spans="2:14" ht="12.75">
      <c r="B46" s="4"/>
      <c r="C46" s="16" t="s">
        <v>69</v>
      </c>
      <c r="D46" s="6"/>
      <c r="E46" s="18">
        <v>31349</v>
      </c>
      <c r="F46" s="18"/>
      <c r="G46" s="18">
        <v>29799</v>
      </c>
      <c r="H46" s="18"/>
      <c r="I46" s="18">
        <v>27222</v>
      </c>
      <c r="J46" s="18"/>
      <c r="K46" s="18">
        <v>26429</v>
      </c>
      <c r="L46" s="18"/>
      <c r="M46" s="18">
        <v>20087</v>
      </c>
      <c r="N46" s="5"/>
    </row>
    <row r="47" spans="2:14" ht="12.75">
      <c r="B47" s="4"/>
      <c r="C47" s="16" t="s">
        <v>70</v>
      </c>
      <c r="D47" s="6"/>
      <c r="E47" s="18">
        <v>3200</v>
      </c>
      <c r="F47" s="18"/>
      <c r="G47" s="18">
        <v>3603</v>
      </c>
      <c r="H47" s="18"/>
      <c r="I47" s="18">
        <v>3513</v>
      </c>
      <c r="J47" s="18"/>
      <c r="K47" s="18">
        <v>3742</v>
      </c>
      <c r="L47" s="18"/>
      <c r="M47" s="18">
        <v>3171</v>
      </c>
      <c r="N47" s="5"/>
    </row>
    <row r="48" spans="2:14" ht="12.75">
      <c r="B48" s="4"/>
      <c r="C48" s="16" t="s">
        <v>71</v>
      </c>
      <c r="D48" s="6"/>
      <c r="E48" s="18">
        <v>6014</v>
      </c>
      <c r="F48" s="18"/>
      <c r="G48" s="18">
        <v>5087</v>
      </c>
      <c r="H48" s="18"/>
      <c r="I48" s="18">
        <v>4971</v>
      </c>
      <c r="J48" s="18"/>
      <c r="K48" s="18">
        <v>4552</v>
      </c>
      <c r="L48" s="18"/>
      <c r="M48" s="18">
        <v>2978</v>
      </c>
      <c r="N48" s="5"/>
    </row>
    <row r="49" spans="2:14" ht="12.75">
      <c r="B49" s="4"/>
      <c r="C49" s="16" t="s">
        <v>72</v>
      </c>
      <c r="D49" s="6"/>
      <c r="E49" s="18">
        <v>2191</v>
      </c>
      <c r="F49" s="18"/>
      <c r="G49" s="18">
        <v>1939</v>
      </c>
      <c r="H49" s="18"/>
      <c r="I49" s="18">
        <v>2160</v>
      </c>
      <c r="J49" s="18"/>
      <c r="K49" s="18">
        <v>1467</v>
      </c>
      <c r="L49" s="18"/>
      <c r="M49" s="18">
        <v>1340</v>
      </c>
      <c r="N49" s="5"/>
    </row>
    <row r="50" spans="2:14" ht="13.5" thickBot="1">
      <c r="B50" s="4"/>
      <c r="C50" s="51" t="s">
        <v>74</v>
      </c>
      <c r="D50" s="52"/>
      <c r="E50" s="53">
        <f>E44+SUM(E46:E49)</f>
        <v>98144</v>
      </c>
      <c r="F50" s="54"/>
      <c r="G50" s="53">
        <f>G44+SUM(G46:G49)</f>
        <v>98906</v>
      </c>
      <c r="H50" s="54"/>
      <c r="I50" s="53">
        <f>I44+SUM(I46:I49)</f>
        <v>90014</v>
      </c>
      <c r="J50" s="54"/>
      <c r="K50" s="53">
        <f>K44+SUM(K46:K49)</f>
        <v>85016</v>
      </c>
      <c r="L50" s="27"/>
      <c r="M50" s="53">
        <f>M44+SUM(M46:M49)</f>
        <v>70758</v>
      </c>
      <c r="N50" s="5"/>
    </row>
    <row r="51" spans="2:14" ht="13.5" thickTop="1">
      <c r="B51" s="4"/>
      <c r="C51" s="14"/>
      <c r="D51" s="6"/>
      <c r="E51" s="27"/>
      <c r="F51" s="18"/>
      <c r="G51" s="27"/>
      <c r="H51" s="18"/>
      <c r="I51" s="27"/>
      <c r="J51" s="18"/>
      <c r="K51" s="27"/>
      <c r="L51" s="27"/>
      <c r="M51" s="27"/>
      <c r="N51" s="5"/>
    </row>
    <row r="52" spans="2:14" ht="12.75">
      <c r="B52" s="4"/>
      <c r="C52" s="7" t="s">
        <v>75</v>
      </c>
      <c r="D52" s="6"/>
      <c r="E52" s="27"/>
      <c r="F52" s="18"/>
      <c r="G52" s="27"/>
      <c r="H52" s="18"/>
      <c r="I52" s="27"/>
      <c r="J52" s="18"/>
      <c r="K52" s="27"/>
      <c r="L52" s="27"/>
      <c r="M52" s="27"/>
      <c r="N52" s="5"/>
    </row>
    <row r="53" spans="2:14" ht="12.75">
      <c r="B53" s="4"/>
      <c r="C53" s="16" t="s">
        <v>76</v>
      </c>
      <c r="D53" s="6"/>
      <c r="E53" s="18">
        <v>0</v>
      </c>
      <c r="F53" s="18"/>
      <c r="G53" s="18">
        <v>0</v>
      </c>
      <c r="H53" s="18"/>
      <c r="I53" s="18">
        <v>0</v>
      </c>
      <c r="J53" s="18"/>
      <c r="K53" s="18">
        <v>0</v>
      </c>
      <c r="L53" s="18"/>
      <c r="M53" s="18">
        <v>0</v>
      </c>
      <c r="N53" s="5"/>
    </row>
    <row r="54" spans="2:14" ht="12.75">
      <c r="B54" s="4"/>
      <c r="C54" s="16" t="s">
        <v>77</v>
      </c>
      <c r="D54" s="6"/>
      <c r="E54" s="56"/>
      <c r="F54" s="18"/>
      <c r="G54" s="18"/>
      <c r="H54" s="18"/>
      <c r="I54" s="18"/>
      <c r="J54" s="18"/>
      <c r="K54" s="18"/>
      <c r="L54" s="18"/>
      <c r="M54" s="18"/>
      <c r="N54" s="5"/>
    </row>
    <row r="55" spans="2:14" ht="12.75">
      <c r="B55" s="4"/>
      <c r="C55" s="16" t="s">
        <v>78</v>
      </c>
      <c r="D55" s="6"/>
      <c r="E55" s="18">
        <v>393</v>
      </c>
      <c r="F55" s="18"/>
      <c r="G55" s="18">
        <v>397</v>
      </c>
      <c r="H55" s="18"/>
      <c r="I55" s="18">
        <v>413</v>
      </c>
      <c r="J55" s="18"/>
      <c r="K55" s="18">
        <v>417</v>
      </c>
      <c r="L55" s="18"/>
      <c r="M55" s="18">
        <v>423</v>
      </c>
      <c r="N55" s="5"/>
    </row>
    <row r="56" spans="2:14" ht="12.75">
      <c r="B56" s="4"/>
      <c r="C56" s="16" t="s">
        <v>80</v>
      </c>
      <c r="D56" s="6"/>
      <c r="E56" s="18">
        <v>3920</v>
      </c>
      <c r="F56" s="18"/>
      <c r="G56" s="18">
        <v>3028</v>
      </c>
      <c r="H56" s="18"/>
      <c r="I56" s="18">
        <v>2834</v>
      </c>
      <c r="J56" s="18"/>
      <c r="K56" s="18">
        <v>2596</v>
      </c>
      <c r="L56" s="18"/>
      <c r="M56" s="18">
        <v>2425</v>
      </c>
      <c r="N56" s="5"/>
    </row>
    <row r="57" spans="2:14" ht="12.75">
      <c r="B57" s="4"/>
      <c r="C57" s="16" t="s">
        <v>81</v>
      </c>
      <c r="D57" s="6"/>
      <c r="E57" s="18">
        <v>63660</v>
      </c>
      <c r="F57" s="18"/>
      <c r="G57" s="18">
        <v>57319</v>
      </c>
      <c r="H57" s="18"/>
      <c r="I57" s="18">
        <v>55818</v>
      </c>
      <c r="J57" s="18"/>
      <c r="K57" s="18">
        <v>1053</v>
      </c>
      <c r="L57" s="18"/>
      <c r="M57" s="18">
        <v>2694</v>
      </c>
      <c r="N57" s="5"/>
    </row>
    <row r="58" spans="2:14" ht="12.75">
      <c r="B58" s="4"/>
      <c r="C58" s="16" t="s">
        <v>82</v>
      </c>
      <c r="D58" s="6"/>
      <c r="E58" s="48">
        <v>-2688</v>
      </c>
      <c r="F58" s="18"/>
      <c r="G58" s="48">
        <v>3864</v>
      </c>
      <c r="H58" s="18"/>
      <c r="I58" s="48">
        <v>2508</v>
      </c>
      <c r="J58" s="18"/>
      <c r="K58" s="48">
        <v>49105</v>
      </c>
      <c r="L58" s="18"/>
      <c r="M58" s="48">
        <v>43854</v>
      </c>
      <c r="N58" s="5"/>
    </row>
    <row r="59" spans="2:14" ht="12.75">
      <c r="B59" s="4"/>
      <c r="C59" s="7" t="s">
        <v>83</v>
      </c>
      <c r="D59" s="7"/>
      <c r="E59" s="57">
        <f>SUM(E53:E58)</f>
        <v>65285</v>
      </c>
      <c r="F59" s="57"/>
      <c r="G59" s="57">
        <f>SUM(G53:G58)</f>
        <v>64608</v>
      </c>
      <c r="H59" s="57"/>
      <c r="I59" s="57">
        <f>SUM(I53:I58)</f>
        <v>61573</v>
      </c>
      <c r="J59" s="57"/>
      <c r="K59" s="57">
        <f>SUM(K53:K58)</f>
        <v>53171</v>
      </c>
      <c r="L59" s="57"/>
      <c r="M59" s="57">
        <f>SUM(M53:M58)</f>
        <v>49396</v>
      </c>
      <c r="N59" s="5"/>
    </row>
    <row r="60" spans="2:14" ht="13.5" thickBot="1">
      <c r="B60" s="4"/>
      <c r="C60" s="14" t="s">
        <v>84</v>
      </c>
      <c r="D60" s="6"/>
      <c r="E60" s="26">
        <f>E50+E59</f>
        <v>163429</v>
      </c>
      <c r="F60" s="18"/>
      <c r="G60" s="26">
        <f>G50+G59</f>
        <v>163514</v>
      </c>
      <c r="H60" s="18"/>
      <c r="I60" s="26">
        <f>I50+I59</f>
        <v>151587</v>
      </c>
      <c r="J60" s="18"/>
      <c r="K60" s="26">
        <f>K50+K59</f>
        <v>138187</v>
      </c>
      <c r="L60" s="27"/>
      <c r="M60" s="26">
        <f>M50+M59</f>
        <v>120154</v>
      </c>
      <c r="N60" s="5"/>
    </row>
    <row r="61" spans="2:14" ht="14.25" thickBot="1" thickTop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</row>
    <row r="62" spans="5:13" ht="12.75">
      <c r="E62" s="49"/>
      <c r="G62" s="49"/>
      <c r="I62" s="49"/>
      <c r="J62" s="49"/>
      <c r="K62" s="49"/>
      <c r="L62" s="49"/>
      <c r="M62" s="49"/>
    </row>
    <row r="63" spans="3:13" ht="12.75">
      <c r="C63" s="65" t="s">
        <v>113</v>
      </c>
      <c r="E63" s="49">
        <f>E33-E60</f>
        <v>0</v>
      </c>
      <c r="G63" s="49">
        <f>G33-G60</f>
        <v>0</v>
      </c>
      <c r="I63" s="49">
        <f>I33-I60</f>
        <v>0</v>
      </c>
      <c r="K63" s="49">
        <f>K33-K60</f>
        <v>0</v>
      </c>
      <c r="M63" s="49">
        <f>M33-M60</f>
        <v>0</v>
      </c>
    </row>
  </sheetData>
  <sheetProtection/>
  <mergeCells count="3">
    <mergeCell ref="B1:N1"/>
    <mergeCell ref="C3:M3"/>
    <mergeCell ref="C4:M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zoomScale="75" zoomScaleNormal="75" zoomScalePageLayoutView="0" workbookViewId="0" topLeftCell="A1">
      <selection activeCell="O7" sqref="O7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37.57421875" style="0" customWidth="1"/>
    <col min="4" max="4" width="1.1484375" style="0" customWidth="1"/>
    <col min="5" max="5" width="10.7109375" style="0" bestFit="1" customWidth="1"/>
    <col min="6" max="6" width="1.1484375" style="0" customWidth="1"/>
    <col min="7" max="7" width="10.7109375" style="0" bestFit="1" customWidth="1"/>
    <col min="8" max="8" width="1.1484375" style="0" customWidth="1"/>
    <col min="9" max="9" width="10.7109375" style="0" bestFit="1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2.8515625" style="0" customWidth="1"/>
    <col min="16" max="16" width="16.00390625" style="0" bestFit="1" customWidth="1"/>
    <col min="17" max="20" width="9.57421875" style="0" bestFit="1" customWidth="1"/>
  </cols>
  <sheetData>
    <row r="1" spans="2:14" ht="13.5" thickBot="1">
      <c r="B1" s="341" t="s">
        <v>86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2:14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342" t="s">
        <v>1</v>
      </c>
      <c r="D3" s="342"/>
      <c r="E3" s="342"/>
      <c r="F3" s="342"/>
      <c r="G3" s="342"/>
      <c r="H3" s="342"/>
      <c r="I3" s="342"/>
      <c r="J3" s="343"/>
      <c r="K3" s="343"/>
      <c r="L3" s="343"/>
      <c r="M3" s="343"/>
      <c r="N3" s="5"/>
    </row>
    <row r="4" spans="2:14" ht="12.75">
      <c r="B4" s="4"/>
      <c r="C4" s="342" t="s">
        <v>87</v>
      </c>
      <c r="D4" s="342"/>
      <c r="E4" s="342"/>
      <c r="F4" s="342"/>
      <c r="G4" s="342"/>
      <c r="H4" s="342"/>
      <c r="I4" s="342"/>
      <c r="J4" s="343"/>
      <c r="K4" s="343"/>
      <c r="L4" s="343"/>
      <c r="M4" s="343"/>
      <c r="N4" s="5"/>
    </row>
    <row r="5" spans="2:14" ht="12.75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</row>
    <row r="6" spans="2:14" ht="12.75">
      <c r="B6" s="4"/>
      <c r="C6" s="7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2:16" ht="12.75">
      <c r="B7" s="4"/>
      <c r="C7" s="11" t="s">
        <v>6</v>
      </c>
      <c r="D7" s="6"/>
      <c r="E7" s="13">
        <v>2009</v>
      </c>
      <c r="F7" s="8"/>
      <c r="G7" s="13">
        <v>2008</v>
      </c>
      <c r="H7" s="8"/>
      <c r="I7" s="13">
        <v>2007</v>
      </c>
      <c r="J7" s="8"/>
      <c r="K7" s="13">
        <v>2006</v>
      </c>
      <c r="L7" s="8"/>
      <c r="M7" s="13">
        <v>2005</v>
      </c>
      <c r="N7" s="5"/>
      <c r="P7" s="284"/>
    </row>
    <row r="8" spans="2:14" ht="12.75">
      <c r="B8" s="4"/>
      <c r="C8" s="16" t="s">
        <v>88</v>
      </c>
      <c r="D8" s="6"/>
      <c r="E8" s="17">
        <v>401244</v>
      </c>
      <c r="F8" s="6"/>
      <c r="G8" s="17">
        <v>374526</v>
      </c>
      <c r="H8" s="6"/>
      <c r="I8" s="17">
        <v>344992</v>
      </c>
      <c r="J8" s="6"/>
      <c r="K8" s="17">
        <v>308945</v>
      </c>
      <c r="L8" s="6"/>
      <c r="M8" s="17">
        <v>281488</v>
      </c>
      <c r="N8" s="5"/>
    </row>
    <row r="9" spans="2:14" ht="12.75">
      <c r="B9" s="4"/>
      <c r="C9" s="16" t="s">
        <v>89</v>
      </c>
      <c r="D9" s="6"/>
      <c r="E9" s="18">
        <v>0</v>
      </c>
      <c r="F9" s="18"/>
      <c r="G9" s="18">
        <v>0</v>
      </c>
      <c r="H9" s="18"/>
      <c r="I9" s="18">
        <v>0</v>
      </c>
      <c r="J9" s="18"/>
      <c r="K9" s="18">
        <v>0</v>
      </c>
      <c r="L9" s="18"/>
      <c r="M9" s="18">
        <v>0</v>
      </c>
      <c r="N9" s="5"/>
    </row>
    <row r="10" spans="2:20" ht="12.75">
      <c r="B10" s="4"/>
      <c r="C10" s="16" t="s">
        <v>90</v>
      </c>
      <c r="D10" s="6"/>
      <c r="E10" s="48">
        <f>306158-E15</f>
        <v>299419</v>
      </c>
      <c r="F10" s="18"/>
      <c r="G10" s="48">
        <v>280198</v>
      </c>
      <c r="H10" s="18"/>
      <c r="I10" s="48">
        <v>258693</v>
      </c>
      <c r="J10" s="18"/>
      <c r="K10" s="48">
        <v>232932</v>
      </c>
      <c r="L10" s="18"/>
      <c r="M10" s="48">
        <v>212427</v>
      </c>
      <c r="N10" s="5"/>
      <c r="P10" s="15"/>
      <c r="Q10" s="15"/>
      <c r="R10" s="15"/>
      <c r="S10" s="15"/>
      <c r="T10" s="15"/>
    </row>
    <row r="11" spans="2:20" ht="12.75">
      <c r="B11" s="4"/>
      <c r="C11" s="14" t="s">
        <v>91</v>
      </c>
      <c r="D11" s="6"/>
      <c r="E11" s="58">
        <f>E8-E10</f>
        <v>101825</v>
      </c>
      <c r="F11" s="18"/>
      <c r="G11" s="58">
        <f>G8-G10</f>
        <v>94328</v>
      </c>
      <c r="H11" s="18"/>
      <c r="I11" s="58">
        <f>I8-I10</f>
        <v>86299</v>
      </c>
      <c r="J11" s="18"/>
      <c r="K11" s="58">
        <f>K8-K10</f>
        <v>76013</v>
      </c>
      <c r="L11" s="18"/>
      <c r="M11" s="58">
        <f>M8-M10</f>
        <v>69061</v>
      </c>
      <c r="N11" s="5"/>
      <c r="P11" s="15"/>
      <c r="Q11" s="15"/>
      <c r="R11" s="15"/>
      <c r="S11" s="15"/>
      <c r="T11" s="15"/>
    </row>
    <row r="12" spans="2:20" ht="12.75">
      <c r="B12" s="4"/>
      <c r="C12" s="16" t="s">
        <v>92</v>
      </c>
      <c r="D12" s="6"/>
      <c r="E12" s="18">
        <v>0</v>
      </c>
      <c r="F12" s="6"/>
      <c r="G12" s="18">
        <v>0</v>
      </c>
      <c r="H12" s="6"/>
      <c r="I12" s="18">
        <v>0</v>
      </c>
      <c r="J12" s="6"/>
      <c r="K12" s="18"/>
      <c r="L12" s="6"/>
      <c r="M12" s="18"/>
      <c r="N12" s="5"/>
      <c r="P12" s="15"/>
      <c r="Q12" s="15"/>
      <c r="R12" s="15"/>
      <c r="S12" s="15"/>
      <c r="T12" s="15"/>
    </row>
    <row r="13" spans="2:20" ht="12.75">
      <c r="B13" s="4"/>
      <c r="C13" s="16" t="s">
        <v>93</v>
      </c>
      <c r="D13" s="6"/>
      <c r="E13" s="48">
        <v>76651</v>
      </c>
      <c r="F13" s="6"/>
      <c r="G13" s="48">
        <f>70288+21</f>
        <v>70309</v>
      </c>
      <c r="H13" s="6"/>
      <c r="I13" s="48">
        <f>64001-11</f>
        <v>63990</v>
      </c>
      <c r="J13" s="6"/>
      <c r="K13" s="48">
        <v>55739</v>
      </c>
      <c r="L13" s="6"/>
      <c r="M13" s="48">
        <v>50178</v>
      </c>
      <c r="N13" s="5"/>
      <c r="P13" s="62"/>
      <c r="Q13" s="15"/>
      <c r="R13" s="15"/>
      <c r="S13" s="15"/>
      <c r="T13" s="15"/>
    </row>
    <row r="14" spans="2:20" ht="12.75">
      <c r="B14" s="4"/>
      <c r="C14" s="14" t="s">
        <v>94</v>
      </c>
      <c r="D14" s="6"/>
      <c r="E14" s="58">
        <f>E11-E12-E13</f>
        <v>25174</v>
      </c>
      <c r="F14" s="18"/>
      <c r="G14" s="58">
        <f>G11-G12-G13</f>
        <v>24019</v>
      </c>
      <c r="H14" s="18"/>
      <c r="I14" s="58">
        <f>I11-I12-I13</f>
        <v>22309</v>
      </c>
      <c r="J14" s="18"/>
      <c r="K14" s="58">
        <f>K11-K12-K13</f>
        <v>20274</v>
      </c>
      <c r="L14" s="18"/>
      <c r="M14" s="58">
        <f>M11-M12-M13</f>
        <v>18883</v>
      </c>
      <c r="N14" s="5"/>
      <c r="P14" s="15"/>
      <c r="Q14" s="15"/>
      <c r="R14" s="15"/>
      <c r="S14" s="15"/>
      <c r="T14" s="15"/>
    </row>
    <row r="15" spans="2:14" ht="12.75">
      <c r="B15" s="4"/>
      <c r="C15" s="16" t="s">
        <v>95</v>
      </c>
      <c r="D15" s="6"/>
      <c r="E15" s="48">
        <v>6739</v>
      </c>
      <c r="F15" s="6"/>
      <c r="G15" s="48">
        <v>6317</v>
      </c>
      <c r="H15" s="6"/>
      <c r="I15" s="48">
        <v>5459</v>
      </c>
      <c r="J15" s="6"/>
      <c r="K15" s="48">
        <v>4717</v>
      </c>
      <c r="L15" s="6"/>
      <c r="M15" s="48">
        <v>4405</v>
      </c>
      <c r="N15" s="5"/>
    </row>
    <row r="16" spans="2:14" ht="12.75">
      <c r="B16" s="4"/>
      <c r="C16" s="7" t="s">
        <v>96</v>
      </c>
      <c r="D16" s="7"/>
      <c r="E16" s="57">
        <f>E14-E15</f>
        <v>18435</v>
      </c>
      <c r="F16" s="6"/>
      <c r="G16" s="57">
        <f>G14-G15</f>
        <v>17702</v>
      </c>
      <c r="H16" s="6"/>
      <c r="I16" s="57">
        <f>I14-I15</f>
        <v>16850</v>
      </c>
      <c r="J16" s="6"/>
      <c r="K16" s="57">
        <f>K14-K15</f>
        <v>15557</v>
      </c>
      <c r="L16" s="6"/>
      <c r="M16" s="57">
        <f>M14-M15</f>
        <v>14478</v>
      </c>
      <c r="N16" s="5"/>
    </row>
    <row r="17" spans="2:14" ht="12.75">
      <c r="B17" s="4"/>
      <c r="C17" s="16" t="s">
        <v>97</v>
      </c>
      <c r="D17" s="6"/>
      <c r="E17" s="18">
        <v>284</v>
      </c>
      <c r="F17" s="6"/>
      <c r="G17" s="18">
        <v>305</v>
      </c>
      <c r="H17" s="6"/>
      <c r="I17" s="18">
        <v>280</v>
      </c>
      <c r="J17" s="6"/>
      <c r="K17" s="18">
        <v>242</v>
      </c>
      <c r="L17" s="6"/>
      <c r="M17" s="18">
        <v>204</v>
      </c>
      <c r="N17" s="5"/>
    </row>
    <row r="18" spans="2:14" ht="12.75">
      <c r="B18" s="4"/>
      <c r="C18" s="16" t="s">
        <v>98</v>
      </c>
      <c r="D18" s="6"/>
      <c r="E18" s="18">
        <v>4363</v>
      </c>
      <c r="F18" s="6"/>
      <c r="G18" s="18">
        <v>4273</v>
      </c>
      <c r="H18" s="6"/>
      <c r="I18" s="18">
        <v>3658</v>
      </c>
      <c r="J18" s="6"/>
      <c r="K18" s="18">
        <v>3156</v>
      </c>
      <c r="L18" s="6"/>
      <c r="M18" s="18">
        <v>2822</v>
      </c>
      <c r="N18" s="5"/>
    </row>
    <row r="19" spans="2:14" ht="12.75">
      <c r="B19" s="4"/>
      <c r="C19" s="16" t="s">
        <v>99</v>
      </c>
      <c r="D19" s="6"/>
      <c r="E19" s="48">
        <v>0</v>
      </c>
      <c r="F19" s="6"/>
      <c r="G19" s="48">
        <v>0</v>
      </c>
      <c r="H19" s="6"/>
      <c r="I19" s="48">
        <v>0</v>
      </c>
      <c r="J19" s="6"/>
      <c r="K19" s="48"/>
      <c r="L19" s="6"/>
      <c r="M19" s="48"/>
      <c r="N19" s="5"/>
    </row>
    <row r="20" spans="2:14" ht="12.75">
      <c r="B20" s="4"/>
      <c r="C20" s="14" t="s">
        <v>100</v>
      </c>
      <c r="D20" s="6"/>
      <c r="E20" s="58">
        <f>E16+E17+E18+E19</f>
        <v>23082</v>
      </c>
      <c r="F20" s="6"/>
      <c r="G20" s="58">
        <f>G16+G17+G18+G19</f>
        <v>22280</v>
      </c>
      <c r="H20" s="6"/>
      <c r="I20" s="58">
        <f>I16+I17+I18+I19</f>
        <v>20788</v>
      </c>
      <c r="J20" s="6"/>
      <c r="K20" s="58">
        <f>K16+K17+K18+K19</f>
        <v>18955</v>
      </c>
      <c r="L20" s="6"/>
      <c r="M20" s="58">
        <f>M16+M17+M18+M19</f>
        <v>17504</v>
      </c>
      <c r="N20" s="5"/>
    </row>
    <row r="21" spans="2:14" ht="12.75">
      <c r="B21" s="4"/>
      <c r="C21" s="16" t="s">
        <v>101</v>
      </c>
      <c r="D21" s="6"/>
      <c r="E21" s="48">
        <v>2184</v>
      </c>
      <c r="F21" s="6"/>
      <c r="G21" s="48">
        <v>2103</v>
      </c>
      <c r="H21" s="6"/>
      <c r="I21" s="48">
        <v>1809</v>
      </c>
      <c r="J21" s="6"/>
      <c r="K21" s="48">
        <v>1420</v>
      </c>
      <c r="L21" s="6"/>
      <c r="M21" s="48">
        <v>1184</v>
      </c>
      <c r="N21" s="5"/>
    </row>
    <row r="22" spans="2:14" ht="12.75">
      <c r="B22" s="4"/>
      <c r="C22" s="7" t="s">
        <v>102</v>
      </c>
      <c r="D22" s="7"/>
      <c r="E22" s="57">
        <f>E20-E21</f>
        <v>20898</v>
      </c>
      <c r="F22" s="6"/>
      <c r="G22" s="57">
        <f>G20-G21</f>
        <v>20177</v>
      </c>
      <c r="H22" s="6"/>
      <c r="I22" s="57">
        <f>I20-I21</f>
        <v>18979</v>
      </c>
      <c r="J22" s="6"/>
      <c r="K22" s="57">
        <f>K20-K21</f>
        <v>17535</v>
      </c>
      <c r="L22" s="6"/>
      <c r="M22" s="57">
        <f>M20-M21</f>
        <v>16320</v>
      </c>
      <c r="N22" s="5"/>
    </row>
    <row r="23" spans="2:14" ht="12.75">
      <c r="B23" s="4"/>
      <c r="C23" s="16" t="s">
        <v>103</v>
      </c>
      <c r="D23" s="6"/>
      <c r="E23" s="18">
        <v>7145</v>
      </c>
      <c r="F23" s="6"/>
      <c r="G23" s="18">
        <v>6908</v>
      </c>
      <c r="H23" s="6"/>
      <c r="I23" s="18">
        <v>6365</v>
      </c>
      <c r="J23" s="6"/>
      <c r="K23" s="18">
        <v>5803</v>
      </c>
      <c r="L23" s="6"/>
      <c r="M23" s="18">
        <v>5589</v>
      </c>
      <c r="N23" s="5"/>
    </row>
    <row r="24" spans="2:14" ht="12.75">
      <c r="B24" s="4"/>
      <c r="C24" s="16" t="s">
        <v>104</v>
      </c>
      <c r="D24" s="6"/>
      <c r="E24" s="48">
        <v>499</v>
      </c>
      <c r="F24" s="59"/>
      <c r="G24" s="48">
        <v>406</v>
      </c>
      <c r="H24" s="59"/>
      <c r="I24" s="48">
        <v>425</v>
      </c>
      <c r="J24" s="59"/>
      <c r="K24" s="48">
        <v>324</v>
      </c>
      <c r="L24" s="59"/>
      <c r="M24" s="48">
        <v>249</v>
      </c>
      <c r="N24" s="5"/>
    </row>
    <row r="25" spans="2:14" ht="12.75">
      <c r="B25" s="4"/>
      <c r="C25" s="7" t="s">
        <v>105</v>
      </c>
      <c r="D25" s="7"/>
      <c r="E25" s="57">
        <f>E22-E23-E24</f>
        <v>13254</v>
      </c>
      <c r="F25" s="59"/>
      <c r="G25" s="57">
        <f>G22-G23-G24</f>
        <v>12863</v>
      </c>
      <c r="H25" s="59"/>
      <c r="I25" s="57">
        <f>I22-I23-I24</f>
        <v>12189</v>
      </c>
      <c r="J25" s="59"/>
      <c r="K25" s="57">
        <f>K22-K23-K24</f>
        <v>11408</v>
      </c>
      <c r="L25" s="59"/>
      <c r="M25" s="57">
        <f>M22-M23-M24</f>
        <v>10482</v>
      </c>
      <c r="N25" s="5"/>
    </row>
    <row r="26" spans="2:14" ht="12.75">
      <c r="B26" s="4"/>
      <c r="C26" s="16" t="s">
        <v>106</v>
      </c>
      <c r="D26" s="6"/>
      <c r="E26" s="48">
        <v>146</v>
      </c>
      <c r="F26" s="59"/>
      <c r="G26" s="48">
        <v>-132</v>
      </c>
      <c r="H26" s="59"/>
      <c r="I26" s="48">
        <v>-905</v>
      </c>
      <c r="J26" s="59"/>
      <c r="K26" s="48">
        <v>-177</v>
      </c>
      <c r="L26" s="59"/>
      <c r="M26" s="48">
        <v>-215</v>
      </c>
      <c r="N26" s="5"/>
    </row>
    <row r="27" spans="2:14" ht="12.75">
      <c r="B27" s="4"/>
      <c r="C27" s="14" t="s">
        <v>107</v>
      </c>
      <c r="D27" s="6"/>
      <c r="E27" s="58">
        <f>E25+E26</f>
        <v>13400</v>
      </c>
      <c r="F27" s="59"/>
      <c r="G27" s="58">
        <f>G25+G26</f>
        <v>12731</v>
      </c>
      <c r="H27" s="59"/>
      <c r="I27" s="58">
        <f>I25+I26</f>
        <v>11284</v>
      </c>
      <c r="J27" s="59"/>
      <c r="K27" s="58">
        <f>K25+K26</f>
        <v>11231</v>
      </c>
      <c r="L27" s="59"/>
      <c r="M27" s="58">
        <f>M25+M26</f>
        <v>10267</v>
      </c>
      <c r="N27" s="5"/>
    </row>
    <row r="28" spans="2:14" ht="12.75">
      <c r="B28" s="4"/>
      <c r="C28" s="16" t="s">
        <v>108</v>
      </c>
      <c r="D28" s="6"/>
      <c r="E28" s="18">
        <v>0</v>
      </c>
      <c r="F28" s="6"/>
      <c r="G28" s="18">
        <v>0</v>
      </c>
      <c r="H28" s="6"/>
      <c r="I28" s="18">
        <v>0</v>
      </c>
      <c r="J28" s="6"/>
      <c r="K28" s="18">
        <v>0</v>
      </c>
      <c r="L28" s="6"/>
      <c r="M28" s="18">
        <v>0</v>
      </c>
      <c r="N28" s="5"/>
    </row>
    <row r="29" spans="2:14" ht="12.75">
      <c r="B29" s="4"/>
      <c r="C29" s="16" t="s">
        <v>109</v>
      </c>
      <c r="D29" s="6"/>
      <c r="E29" s="18">
        <v>0</v>
      </c>
      <c r="F29" s="6"/>
      <c r="G29" s="18">
        <v>0</v>
      </c>
      <c r="H29" s="6"/>
      <c r="I29" s="18">
        <v>0</v>
      </c>
      <c r="J29" s="6"/>
      <c r="K29" s="18">
        <v>0</v>
      </c>
      <c r="L29" s="6"/>
      <c r="M29" s="18">
        <v>0</v>
      </c>
      <c r="N29" s="5"/>
    </row>
    <row r="30" spans="2:14" ht="12.75">
      <c r="B30" s="4"/>
      <c r="C30" s="16" t="s">
        <v>110</v>
      </c>
      <c r="D30" s="6"/>
      <c r="E30" s="18">
        <v>0</v>
      </c>
      <c r="F30" s="6"/>
      <c r="G30" s="18">
        <v>0</v>
      </c>
      <c r="H30" s="6"/>
      <c r="I30" s="18">
        <v>0</v>
      </c>
      <c r="J30" s="6"/>
      <c r="K30" s="18">
        <v>0</v>
      </c>
      <c r="L30" s="6"/>
      <c r="M30" s="18">
        <v>0</v>
      </c>
      <c r="N30" s="5"/>
    </row>
    <row r="31" spans="2:14" ht="13.5" thickBot="1">
      <c r="B31" s="4"/>
      <c r="C31" s="51" t="s">
        <v>111</v>
      </c>
      <c r="D31" s="6"/>
      <c r="E31" s="53">
        <f>E27+E28+E29+E30</f>
        <v>13400</v>
      </c>
      <c r="F31" s="60"/>
      <c r="G31" s="53">
        <f>G27+G28+G29+G30</f>
        <v>12731</v>
      </c>
      <c r="H31" s="60"/>
      <c r="I31" s="53">
        <f>I27+I28+I29+I30</f>
        <v>11284</v>
      </c>
      <c r="J31" s="60"/>
      <c r="K31" s="53">
        <f>K27+K28+K29+K30</f>
        <v>11231</v>
      </c>
      <c r="L31" s="60"/>
      <c r="M31" s="53">
        <f>M27+M28+M29+M30</f>
        <v>10267</v>
      </c>
      <c r="N31" s="5"/>
    </row>
    <row r="32" spans="2:14" ht="14.25" thickBot="1" thickTop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</row>
    <row r="34" spans="3:13" ht="12.75">
      <c r="C34" s="63" t="s">
        <v>112</v>
      </c>
      <c r="E34" s="62">
        <v>13400</v>
      </c>
      <c r="F34" s="62"/>
      <c r="G34" s="62">
        <v>12731</v>
      </c>
      <c r="H34" s="62"/>
      <c r="I34" s="62">
        <v>11284</v>
      </c>
      <c r="J34" s="62"/>
      <c r="K34" s="62">
        <v>11231</v>
      </c>
      <c r="L34" s="62"/>
      <c r="M34" s="62">
        <v>10267</v>
      </c>
    </row>
    <row r="35" spans="3:13" ht="12.75">
      <c r="C35" s="63" t="s">
        <v>113</v>
      </c>
      <c r="E35" s="15">
        <f>E31-E34</f>
        <v>0</v>
      </c>
      <c r="G35" s="15">
        <f>G31-G34</f>
        <v>0</v>
      </c>
      <c r="I35" s="15">
        <f>I31-I34</f>
        <v>0</v>
      </c>
      <c r="J35" s="15"/>
      <c r="K35" s="15">
        <f>K31-K34</f>
        <v>0</v>
      </c>
      <c r="L35" s="15"/>
      <c r="M35" s="15">
        <f>M31-M34</f>
        <v>0</v>
      </c>
    </row>
  </sheetData>
  <sheetProtection/>
  <mergeCells count="3">
    <mergeCell ref="B1:N1"/>
    <mergeCell ref="C3:M3"/>
    <mergeCell ref="C4:M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2.140625" style="181" customWidth="1"/>
    <col min="2" max="2" width="49.7109375" style="181" customWidth="1"/>
    <col min="3" max="3" width="17.7109375" style="181" customWidth="1"/>
    <col min="4" max="4" width="7.8515625" style="181" customWidth="1"/>
    <col min="5" max="5" width="12.57421875" style="181" customWidth="1"/>
    <col min="6" max="6" width="17.8515625" style="181" customWidth="1"/>
    <col min="7" max="7" width="14.57421875" style="181" customWidth="1"/>
    <col min="8" max="8" width="11.57421875" style="181" customWidth="1"/>
    <col min="9" max="16384" width="9.140625" style="181" customWidth="1"/>
  </cols>
  <sheetData>
    <row r="1" ht="12.75"/>
    <row r="2" spans="2:8" ht="15.75">
      <c r="B2" s="344" t="s">
        <v>174</v>
      </c>
      <c r="C2" s="345"/>
      <c r="D2" s="345"/>
      <c r="E2" s="345"/>
      <c r="F2" s="345"/>
      <c r="G2" s="345"/>
      <c r="H2" s="345"/>
    </row>
    <row r="3" ht="9" customHeight="1">
      <c r="B3" s="182"/>
    </row>
    <row r="4" spans="3:8" ht="25.5">
      <c r="C4" s="183" t="s">
        <v>3</v>
      </c>
      <c r="G4" s="184"/>
      <c r="H4" s="185" t="s">
        <v>175</v>
      </c>
    </row>
    <row r="5" spans="3:8" ht="25.5">
      <c r="C5" s="186" t="s">
        <v>176</v>
      </c>
      <c r="D5" s="186" t="s">
        <v>177</v>
      </c>
      <c r="E5" s="186" t="s">
        <v>178</v>
      </c>
      <c r="F5" s="186" t="s">
        <v>179</v>
      </c>
      <c r="G5" s="186" t="s">
        <v>180</v>
      </c>
      <c r="H5" s="187" t="s">
        <v>181</v>
      </c>
    </row>
    <row r="6" ht="12.75">
      <c r="B6" s="188" t="s">
        <v>182</v>
      </c>
    </row>
    <row r="7" spans="2:3" ht="12.75">
      <c r="B7" s="181" t="s">
        <v>14</v>
      </c>
      <c r="C7" s="189">
        <f>'WMT Bal. Sht.'!E37</f>
        <v>1506</v>
      </c>
    </row>
    <row r="8" spans="2:3" ht="12.75">
      <c r="B8" s="181" t="s">
        <v>183</v>
      </c>
      <c r="C8" s="190">
        <f>'WMT Bal. Sht.'!E41</f>
        <v>5848</v>
      </c>
    </row>
    <row r="9" spans="2:3" ht="12.75">
      <c r="B9" s="181" t="s">
        <v>16</v>
      </c>
      <c r="C9" s="190">
        <f>'WMT Bal. Sht.'!E42</f>
        <v>315</v>
      </c>
    </row>
    <row r="10" spans="2:3" ht="12.75">
      <c r="B10" s="181" t="s">
        <v>17</v>
      </c>
      <c r="C10" s="190">
        <f>'WMT Bal. Sht.'!E46</f>
        <v>31349</v>
      </c>
    </row>
    <row r="11" spans="2:3" ht="15">
      <c r="B11" s="181" t="s">
        <v>184</v>
      </c>
      <c r="C11" s="191">
        <f>'WMT Bal. Sht.'!E47</f>
        <v>3200</v>
      </c>
    </row>
    <row r="12" ht="2.25" customHeight="1" thickBot="1">
      <c r="C12" s="191"/>
    </row>
    <row r="13" spans="2:8" ht="12.75">
      <c r="B13" s="192" t="s">
        <v>185</v>
      </c>
      <c r="C13" s="193">
        <f>SUM(C7:C11)</f>
        <v>42218</v>
      </c>
      <c r="D13" s="194">
        <f>C13/$C$15</f>
        <v>0.3927146219175279</v>
      </c>
      <c r="E13" s="195">
        <f>C29</f>
        <v>0.05173148893836752</v>
      </c>
      <c r="F13" s="196">
        <f>'WMT P&amp;L'!E23/'WMT P&amp;L'!E22</f>
        <v>0.3418987462915111</v>
      </c>
      <c r="G13" s="196">
        <f>E13*(1-F13)</f>
        <v>0.03404455772654649</v>
      </c>
      <c r="H13" s="196">
        <f>D13*G13</f>
        <v>0.013369795615930158</v>
      </c>
    </row>
    <row r="14" spans="2:8" ht="13.5" thickBot="1">
      <c r="B14" s="197" t="s">
        <v>186</v>
      </c>
      <c r="C14" s="198">
        <f>'WMT Bal. Sht.'!E59</f>
        <v>65285</v>
      </c>
      <c r="D14" s="199">
        <f>C14/$C$15</f>
        <v>0.6072853780824721</v>
      </c>
      <c r="E14" s="195">
        <f>C23</f>
        <v>0.042412000000000005</v>
      </c>
      <c r="F14" s="200">
        <v>0</v>
      </c>
      <c r="G14" s="201">
        <f>E14*(1-F14)</f>
        <v>0.042412000000000005</v>
      </c>
      <c r="H14" s="196">
        <f>D14*G14</f>
        <v>0.02575618745523381</v>
      </c>
    </row>
    <row r="15" spans="2:9" ht="13.5" thickBot="1">
      <c r="B15" s="202" t="s">
        <v>187</v>
      </c>
      <c r="C15" s="203">
        <f>C13+C14</f>
        <v>107503</v>
      </c>
      <c r="D15" s="204">
        <f>C15/$C$15</f>
        <v>1</v>
      </c>
      <c r="H15" s="205">
        <f>H13+H14</f>
        <v>0.03912598307116397</v>
      </c>
      <c r="I15" s="206"/>
    </row>
    <row r="16" ht="12.75">
      <c r="C16" s="207"/>
    </row>
    <row r="17" ht="12.75">
      <c r="C17" s="207"/>
    </row>
    <row r="18" ht="12.75">
      <c r="C18" s="207"/>
    </row>
    <row r="19" spans="2:3" ht="12.75">
      <c r="B19" s="208" t="s">
        <v>188</v>
      </c>
      <c r="C19" s="207"/>
    </row>
    <row r="20" spans="2:4" ht="12.75">
      <c r="B20" s="181" t="s">
        <v>189</v>
      </c>
      <c r="C20" s="209">
        <v>0.24</v>
      </c>
      <c r="D20" s="181" t="s">
        <v>203</v>
      </c>
    </row>
    <row r="21" spans="2:4" ht="12.75">
      <c r="B21" s="181" t="s">
        <v>190</v>
      </c>
      <c r="C21" s="210">
        <v>0.0337</v>
      </c>
      <c r="D21" s="181" t="s">
        <v>204</v>
      </c>
    </row>
    <row r="22" spans="2:4" ht="13.5" thickBot="1">
      <c r="B22" s="181" t="s">
        <v>191</v>
      </c>
      <c r="C22" s="210">
        <v>0.07</v>
      </c>
      <c r="D22" s="181" t="s">
        <v>192</v>
      </c>
    </row>
    <row r="23" spans="2:5" ht="13.5" thickBot="1">
      <c r="B23" s="211" t="s">
        <v>193</v>
      </c>
      <c r="C23" s="212">
        <f>C21+C20*(C22-C21)</f>
        <v>0.042412000000000005</v>
      </c>
      <c r="D23" s="181" t="s">
        <v>194</v>
      </c>
      <c r="E23" s="181" t="s">
        <v>195</v>
      </c>
    </row>
    <row r="25" ht="12.75">
      <c r="B25" s="208" t="s">
        <v>196</v>
      </c>
    </row>
    <row r="26" spans="2:4" ht="12.75">
      <c r="B26" s="213" t="s">
        <v>197</v>
      </c>
      <c r="C26" s="214" t="s">
        <v>198</v>
      </c>
      <c r="D26" s="213" t="s">
        <v>199</v>
      </c>
    </row>
    <row r="27" spans="2:4" ht="12.75">
      <c r="B27" s="181" t="s">
        <v>200</v>
      </c>
      <c r="C27" s="189">
        <f>'WMT P&amp;L'!E21</f>
        <v>2184</v>
      </c>
      <c r="D27" s="181" t="s">
        <v>210</v>
      </c>
    </row>
    <row r="28" spans="2:4" ht="13.5" thickBot="1">
      <c r="B28" s="181" t="s">
        <v>185</v>
      </c>
      <c r="C28" s="215">
        <f>C13</f>
        <v>42218</v>
      </c>
      <c r="D28" s="181" t="s">
        <v>201</v>
      </c>
    </row>
    <row r="29" spans="2:4" ht="13.5" thickBot="1">
      <c r="B29" s="211" t="s">
        <v>202</v>
      </c>
      <c r="C29" s="212">
        <f>C27/C28</f>
        <v>0.05173148893836752</v>
      </c>
      <c r="D29" s="181" t="s">
        <v>194</v>
      </c>
    </row>
    <row r="33" ht="12.75">
      <c r="B33" s="216"/>
    </row>
  </sheetData>
  <sheetProtection/>
  <mergeCells count="1">
    <mergeCell ref="B2:H2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Fidelity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J. Saul</dc:creator>
  <cp:keywords/>
  <dc:description/>
  <cp:lastModifiedBy>Patrick J. Saul</cp:lastModifiedBy>
  <dcterms:created xsi:type="dcterms:W3CDTF">2009-09-15T19:04:30Z</dcterms:created>
  <dcterms:modified xsi:type="dcterms:W3CDTF">2009-09-17T18:33:54Z</dcterms:modified>
  <cp:category/>
  <cp:version/>
  <cp:contentType/>
  <cp:contentStatus/>
</cp:coreProperties>
</file>