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32" windowWidth="15456" windowHeight="5268" activeTab="0"/>
  </bookViews>
  <sheets>
    <sheet name="CASE27I" sheetId="1" r:id="rId1"/>
    <sheet name="GRAPHIC" sheetId="2" r:id="rId2"/>
  </sheets>
  <definedNames>
    <definedName name="__123Graph_A" hidden="1">'CASE27I'!$B$98:$B$123</definedName>
    <definedName name="__123Graph_ACASEGRAPHIC" hidden="1">'CASE27I'!$B$98:$B$123</definedName>
    <definedName name="__123Graph_AGRAPHIC" hidden="1">'CASE27I'!$B$98:$B$123</definedName>
    <definedName name="__123Graph_B" hidden="1">'CASE27I'!$C$98:$C$123</definedName>
    <definedName name="__123Graph_BCASEGRAPHIC" hidden="1">'CASE27I'!$C$98:$C$123</definedName>
    <definedName name="__123Graph_BGRAPHIC" hidden="1">'CASE27I'!$C$98:$C$123</definedName>
    <definedName name="__123Graph_C" hidden="1">'CASE27I'!$D$98:$D$123</definedName>
    <definedName name="__123Graph_CCASEGRAPHIC" hidden="1">'CASE27I'!$D$98:$D$123</definedName>
    <definedName name="__123Graph_CGRAPHIC" hidden="1">'CASE27I'!$D$98:$D$123</definedName>
    <definedName name="__123Graph_D" hidden="1">'CASE27I'!$G$98:$G$123</definedName>
    <definedName name="__123Graph_DCASEGRAPHIC" hidden="1">'CASE27I'!$G$98:$G$123</definedName>
    <definedName name="__123Graph_DGRAPHIC" hidden="1">'CASE27I'!$G$98:$G$123</definedName>
    <definedName name="__123Graph_E" hidden="1">'CASE27I'!$H$98:$H$123</definedName>
    <definedName name="__123Graph_ECASEGRAPHIC" hidden="1">'CASE27I'!$H$98:$H$123</definedName>
    <definedName name="__123Graph_EGRAPHIC" hidden="1">'CASE27I'!$H$98:$H$123</definedName>
    <definedName name="__123Graph_X" hidden="1">'CASE27I'!$A$98:$A$123</definedName>
    <definedName name="__123Graph_XCASEGRAPHIC" hidden="1">'CASE27I'!$A$98:$A$123</definedName>
    <definedName name="__123Graph_XGRAPHIC" hidden="1">'CASE27I'!$A$98:$A$123</definedName>
    <definedName name="_Fill" hidden="1">'CASE27I'!$E$144:$E$158</definedName>
    <definedName name="_Regression_Int" localSheetId="0" hidden="1">1</definedName>
    <definedName name="_Table1_In1" hidden="1">'CASE27I'!$A$98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<sst xmlns="http://schemas.openxmlformats.org/spreadsheetml/2006/main" count="239" uniqueCount="131">
  <si>
    <t>VIRGINIA MAY CHOCOLATE COMPANY</t>
  </si>
  <si>
    <t>Financing with Convertibles and Warrants</t>
  </si>
  <si>
    <t>This case focuses on financing with convertibles and warrants. The</t>
  </si>
  <si>
    <t>model analyzes various rates of return and costs of capital under</t>
  </si>
  <si>
    <t>alternative types of financing.  Although the model requires a large</t>
  </si>
  <si>
    <t>set of input data, none of the individual calculations is particularly</t>
  </si>
  <si>
    <t>complex.</t>
  </si>
  <si>
    <t>Clicking on the GRAPHIC tab will show a plot of conversion value, bond</t>
  </si>
  <si>
    <t>value, call value, par value and market value of the 11% bond over time.</t>
  </si>
  <si>
    <t>have been blanked out.  Before using the model, it is necessary to</t>
  </si>
  <si>
    <t>fill in the empty cells with the appropriate formulas.  Once this</t>
  </si>
  <si>
    <t>is done, the model is ready for use.</t>
  </si>
  <si>
    <t>=</t>
  </si>
  <si>
    <t>INPUT DATA:</t>
  </si>
  <si>
    <t>KEY OUTPUT:</t>
  </si>
  <si>
    <t xml:space="preserve">  General Information:</t>
  </si>
  <si>
    <t xml:space="preserve">  To Company:</t>
  </si>
  <si>
    <t>Capital needed ($000s)</t>
  </si>
  <si>
    <t>Kc for 9% issue</t>
  </si>
  <si>
    <t>Stock growth rate</t>
  </si>
  <si>
    <t>Kc for 11% issue</t>
  </si>
  <si>
    <t>Rate on straight debt</t>
  </si>
  <si>
    <t>WACC with bonds &amp; stock</t>
  </si>
  <si>
    <t>Tax rate</t>
  </si>
  <si>
    <t>WACC with 9% issue</t>
  </si>
  <si>
    <t>WACC with 11% issue</t>
  </si>
  <si>
    <t xml:space="preserve">  Existing Capital:</t>
  </si>
  <si>
    <t>Kw of 10% (warrants) issue</t>
  </si>
  <si>
    <t>Current stock price</t>
  </si>
  <si>
    <t xml:space="preserve">  To Investors:</t>
  </si>
  <si>
    <t>Shares out (000s)</t>
  </si>
  <si>
    <t>Notes payable ($000s)</t>
  </si>
  <si>
    <t>Interest cost</t>
  </si>
  <si>
    <t>LT bonds out (000s)</t>
  </si>
  <si>
    <t>Par value</t>
  </si>
  <si>
    <t>Coupon rate</t>
  </si>
  <si>
    <t>Current interest rate</t>
  </si>
  <si>
    <t>Years to maturity</t>
  </si>
  <si>
    <t xml:space="preserve">  10.00% Debentures with Warrants:</t>
  </si>
  <si>
    <t>Maturity of debt (yrs)</t>
  </si>
  <si>
    <t>Key Output: (Repeated)</t>
  </si>
  <si>
    <t>Number of warrants</t>
  </si>
  <si>
    <t>Price of warrant</t>
  </si>
  <si>
    <t>Maturity of war (yrs)</t>
  </si>
  <si>
    <t xml:space="preserve">  9.00% Convertible Debentures:</t>
  </si>
  <si>
    <t>Maturity (years)</t>
  </si>
  <si>
    <t>Call premium at t=2</t>
  </si>
  <si>
    <t>Yrly drop in call prem</t>
  </si>
  <si>
    <t>Conversion ratio</t>
  </si>
  <si>
    <t xml:space="preserve">  11.00% Convertible Debentures:</t>
  </si>
  <si>
    <t>Mkt growth until conv</t>
  </si>
  <si>
    <t xml:space="preserve">  Marginal Capital Costs:</t>
  </si>
  <si>
    <t>Short-term debt</t>
  </si>
  <si>
    <t>Long-term debt</t>
  </si>
  <si>
    <t>Retained earnings</t>
  </si>
  <si>
    <t>Common stock</t>
  </si>
  <si>
    <t>MODEL GENERATED DATA:</t>
  </si>
  <si>
    <t>$000</t>
  </si>
  <si>
    <t xml:space="preserve">  % of Total</t>
  </si>
  <si>
    <t>-</t>
  </si>
  <si>
    <t>--</t>
  </si>
  <si>
    <t>Notes payable</t>
  </si>
  <si>
    <t>-----------</t>
  </si>
  <si>
    <t>------</t>
  </si>
  <si>
    <t xml:space="preserve">  Total debt</t>
  </si>
  <si>
    <t>Total permanent capital</t>
  </si>
  <si>
    <t>===========</t>
  </si>
  <si>
    <t>======</t>
  </si>
  <si>
    <t xml:space="preserve">   Bond</t>
  </si>
  <si>
    <t xml:space="preserve">   Call</t>
  </si>
  <si>
    <t/>
  </si>
  <si>
    <t>Maturity</t>
  </si>
  <si>
    <t xml:space="preserve">   Market</t>
  </si>
  <si>
    <t>Year</t>
  </si>
  <si>
    <t xml:space="preserve">  Value</t>
  </si>
  <si>
    <t xml:space="preserve">   Value</t>
  </si>
  <si>
    <t xml:space="preserve">   Price</t>
  </si>
  <si>
    <t xml:space="preserve">     Value</t>
  </si>
  <si>
    <t>----</t>
  </si>
  <si>
    <t>The easiest way to determine when the conversion value will equal</t>
  </si>
  <si>
    <t>the value at which a call will be issued is to use the CTERM function:</t>
  </si>
  <si>
    <t>Percent the conversion value is above par value =</t>
  </si>
  <si>
    <t>Years to call =</t>
  </si>
  <si>
    <t>years</t>
  </si>
  <si>
    <t>We can use the IRR function to find the after-tax cost of the</t>
  </si>
  <si>
    <t>convertibles, after specifying the cash flow stream:</t>
  </si>
  <si>
    <t xml:space="preserve">   Kc for 9% Issue</t>
  </si>
  <si>
    <t xml:space="preserve"> Kc for 11% Issue</t>
  </si>
  <si>
    <t xml:space="preserve">  -----------------</t>
  </si>
  <si>
    <t>------------------</t>
  </si>
  <si>
    <t>Cash</t>
  </si>
  <si>
    <t>Flow</t>
  </si>
  <si>
    <t>-------</t>
  </si>
  <si>
    <t>IRR = Kc =</t>
  </si>
  <si>
    <t xml:space="preserve">     IRR = Kc =</t>
  </si>
  <si>
    <t xml:space="preserve">  Weighted-Average Cost of Capital:</t>
  </si>
  <si>
    <t>9% Convertible Issue:</t>
  </si>
  <si>
    <t>WdST =</t>
  </si>
  <si>
    <t>KdST =</t>
  </si>
  <si>
    <t>WdLT =</t>
  </si>
  <si>
    <t>KdLT =</t>
  </si>
  <si>
    <t>Ws =</t>
  </si>
  <si>
    <t xml:space="preserve">  Kr =</t>
  </si>
  <si>
    <t>Wc =</t>
  </si>
  <si>
    <t xml:space="preserve">  Kc =</t>
  </si>
  <si>
    <t>Ka =</t>
  </si>
  <si>
    <t>We =</t>
  </si>
  <si>
    <t xml:space="preserve">  Ke =</t>
  </si>
  <si>
    <t>11% Convertible Issue</t>
  </si>
  <si>
    <t>Value of warrants at expiration</t>
  </si>
  <si>
    <t xml:space="preserve">    Kw to Company</t>
  </si>
  <si>
    <t>Kw to Investors</t>
  </si>
  <si>
    <t xml:space="preserve">    -------------</t>
  </si>
  <si>
    <t>---------------</t>
  </si>
  <si>
    <t xml:space="preserve">   Year</t>
  </si>
  <si>
    <t xml:space="preserve">   ----</t>
  </si>
  <si>
    <t>IRR = Kw =</t>
  </si>
  <si>
    <t xml:space="preserve">     IRR = Kw =</t>
  </si>
  <si>
    <t>END</t>
  </si>
  <si>
    <t>1.a. Market Value Capital Structure:</t>
  </si>
  <si>
    <t>1.b. WACC: Common stock plus Mortgage Bonds</t>
  </si>
  <si>
    <t>2. 11% Convertible Debenture Value over Time:</t>
  </si>
  <si>
    <t>Straight</t>
  </si>
  <si>
    <t>Conversion</t>
  </si>
  <si>
    <t>4. 11% Convertible Debenture Year of Conversion:</t>
  </si>
  <si>
    <t>5. After-Tax Costs of the Convertible Issues:</t>
  </si>
  <si>
    <t>or RATE =</t>
  </si>
  <si>
    <t>9. 10% Debentures with Warrants; Cost and Rate of Return:</t>
  </si>
  <si>
    <t>10. Expected Rate of Return to Investors:</t>
  </si>
  <si>
    <t>CASE27</t>
  </si>
  <si>
    <t>Some of the highlighted cells highlighted in yellow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</si>
</sst>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0_)"/>
    <numFmt numFmtId="167" formatCode="General_)"/>
    <numFmt numFmtId="168" formatCode="&quot;$&quot;#,##0.000_);\(&quot;$&quot;#,##0.000\)"/>
    <numFmt numFmtId="169" formatCode="&quot;$&quot;#,##0.0000_);\(&quot;$&quot;#,##0.0000\)"/>
    <numFmt numFmtId="170" formatCode="&quot;$&quot;#,##0.0_);\(&quot;$&quot;#,##0.0\)"/>
    <numFmt numFmtId="171" formatCode="0.0%"/>
  </numFmts>
  <fonts count="5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  <font>
      <b/>
      <sz val="10"/>
      <color indexed="12"/>
      <name val="Courier"/>
      <family val="3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 locked="0"/>
    </xf>
    <xf numFmtId="5" fontId="2" fillId="0" borderId="0" xfId="0" applyNumberFormat="1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0" fontId="2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7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39" fontId="0" fillId="2" borderId="0" xfId="0" applyNumberForma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 locked="0"/>
    </xf>
    <xf numFmtId="10" fontId="4" fillId="2" borderId="0" xfId="0" applyNumberFormat="1" applyFont="1" applyFill="1" applyAlignment="1" applyProtection="1">
      <alignment/>
      <protection/>
    </xf>
    <xf numFmtId="5" fontId="4" fillId="2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7" fontId="4" fillId="2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37" fontId="0" fillId="2" borderId="4" xfId="0" applyNumberForma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4" fillId="2" borderId="4" xfId="0" applyNumberFormat="1" applyFont="1" applyFill="1" applyBorder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66" fontId="4" fillId="2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>
      <alignment/>
    </xf>
    <xf numFmtId="5" fontId="0" fillId="0" borderId="4" xfId="0" applyNumberFormat="1" applyFill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Graphic Model of a Convertible Bond
  11.0 Percent Issue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35"/>
          <c:w val="0.954"/>
          <c:h val="0.743"/>
        </c:manualLayout>
      </c:layout>
      <c:lineChart>
        <c:grouping val="standard"/>
        <c:varyColors val="0"/>
        <c:ser>
          <c:idx val="0"/>
          <c:order val="0"/>
          <c:tx>
            <c:v>Conv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CASE27I!$A$98:$A$123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CASE27I!$B$98:$B$123</c:f>
              <c:numCache>
                <c:ptCount val="26"/>
                <c:pt idx="0">
                  <c:v>698</c:v>
                </c:pt>
                <c:pt idx="1">
                  <c:v>732.9000000000001</c:v>
                </c:pt>
                <c:pt idx="2">
                  <c:v>769.545</c:v>
                </c:pt>
                <c:pt idx="3">
                  <c:v>808.0222500000001</c:v>
                </c:pt>
                <c:pt idx="4">
                  <c:v>848.4233625</c:v>
                </c:pt>
                <c:pt idx="5">
                  <c:v>890.8445306250001</c:v>
                </c:pt>
                <c:pt idx="6">
                  <c:v>935.3867571562499</c:v>
                </c:pt>
                <c:pt idx="7">
                  <c:v>982.1560950140627</c:v>
                </c:pt>
                <c:pt idx="8">
                  <c:v>1031.2638997647655</c:v>
                </c:pt>
                <c:pt idx="9">
                  <c:v>1082.8270947530038</c:v>
                </c:pt>
                <c:pt idx="10">
                  <c:v>1136.9684494906542</c:v>
                </c:pt>
                <c:pt idx="11">
                  <c:v>1193.816871965187</c:v>
                </c:pt>
                <c:pt idx="12">
                  <c:v>1253.507715563446</c:v>
                </c:pt>
                <c:pt idx="13">
                  <c:v>1316.1831013416188</c:v>
                </c:pt>
                <c:pt idx="14">
                  <c:v>1381.9922564086994</c:v>
                </c:pt>
                <c:pt idx="15">
                  <c:v>1451.0918692291348</c:v>
                </c:pt>
                <c:pt idx="16">
                  <c:v>1523.6464626905913</c:v>
                </c:pt>
                <c:pt idx="17">
                  <c:v>1599.828785825121</c:v>
                </c:pt>
                <c:pt idx="18">
                  <c:v>1679.8202251163773</c:v>
                </c:pt>
                <c:pt idx="19">
                  <c:v>1763.811236372196</c:v>
                </c:pt>
                <c:pt idx="20">
                  <c:v>1852.0017981908059</c:v>
                </c:pt>
                <c:pt idx="21">
                  <c:v>1944.601888100346</c:v>
                </c:pt>
                <c:pt idx="22">
                  <c:v>2041.8319825053632</c:v>
                </c:pt>
                <c:pt idx="23">
                  <c:v>2143.923581630632</c:v>
                </c:pt>
                <c:pt idx="24">
                  <c:v>2251.119760712163</c:v>
                </c:pt>
                <c:pt idx="25">
                  <c:v>2363.675748747771</c:v>
                </c:pt>
              </c:numCache>
            </c:numRef>
          </c:val>
          <c:smooth val="0"/>
        </c:ser>
        <c:ser>
          <c:idx val="1"/>
          <c:order val="1"/>
          <c:tx>
            <c:v>Bond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CASE27I!$A$98:$A$123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CASE27I!$C$98:$C$123</c:f>
              <c:numCache>
                <c:ptCount val="26"/>
                <c:pt idx="0">
                  <c:v>921.5686088793544</c:v>
                </c:pt>
                <c:pt idx="1">
                  <c:v>922.156841944877</c:v>
                </c:pt>
                <c:pt idx="2">
                  <c:v>922.8156629782623</c:v>
                </c:pt>
                <c:pt idx="3">
                  <c:v>923.5535425356538</c:v>
                </c:pt>
                <c:pt idx="4">
                  <c:v>924.3799676399323</c:v>
                </c:pt>
                <c:pt idx="5">
                  <c:v>925.305563756724</c:v>
                </c:pt>
                <c:pt idx="6">
                  <c:v>926.3422314075309</c:v>
                </c:pt>
                <c:pt idx="7">
                  <c:v>927.5032991764347</c:v>
                </c:pt>
                <c:pt idx="8">
                  <c:v>928.8036950776068</c:v>
                </c:pt>
                <c:pt idx="9">
                  <c:v>930.2601384869197</c:v>
                </c:pt>
                <c:pt idx="10">
                  <c:v>931.8913551053499</c:v>
                </c:pt>
                <c:pt idx="11">
                  <c:v>933.7183177179919</c:v>
                </c:pt>
                <c:pt idx="12">
                  <c:v>935.7645158441509</c:v>
                </c:pt>
                <c:pt idx="13">
                  <c:v>938.0562577454491</c:v>
                </c:pt>
                <c:pt idx="14">
                  <c:v>940.6230086749031</c:v>
                </c:pt>
                <c:pt idx="15">
                  <c:v>943.4977697158914</c:v>
                </c:pt>
                <c:pt idx="16">
                  <c:v>946.7175020817983</c:v>
                </c:pt>
                <c:pt idx="17">
                  <c:v>950.323602331614</c:v>
                </c:pt>
                <c:pt idx="18">
                  <c:v>954.3624346114077</c:v>
                </c:pt>
                <c:pt idx="19">
                  <c:v>958.8859267647767</c:v>
                </c:pt>
                <c:pt idx="20">
                  <c:v>963.9522379765499</c:v>
                </c:pt>
                <c:pt idx="21">
                  <c:v>969.626506533736</c:v>
                </c:pt>
                <c:pt idx="22">
                  <c:v>975.9816873177842</c:v>
                </c:pt>
                <c:pt idx="23">
                  <c:v>983.0994897959184</c:v>
                </c:pt>
                <c:pt idx="24">
                  <c:v>991.0714285714284</c:v>
                </c:pt>
                <c:pt idx="25">
                  <c:v>1000</c:v>
                </c:pt>
              </c:numCache>
            </c:numRef>
          </c:val>
          <c:smooth val="0"/>
        </c:ser>
        <c:ser>
          <c:idx val="2"/>
          <c:order val="2"/>
          <c:tx>
            <c:v>Call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CASE27I!$A$98:$A$123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CASE27I!$D$98:$D$123</c:f>
              <c:numCache>
                <c:ptCount val="26"/>
                <c:pt idx="0">
                  <c:v>1110</c:v>
                </c:pt>
                <c:pt idx="1">
                  <c:v>1110</c:v>
                </c:pt>
                <c:pt idx="2">
                  <c:v>1110</c:v>
                </c:pt>
                <c:pt idx="3">
                  <c:v>1105.2173913043478</c:v>
                </c:pt>
                <c:pt idx="4">
                  <c:v>1100.4347826086957</c:v>
                </c:pt>
                <c:pt idx="5">
                  <c:v>1095.6521739130435</c:v>
                </c:pt>
                <c:pt idx="6">
                  <c:v>1090.8695652173913</c:v>
                </c:pt>
                <c:pt idx="7">
                  <c:v>1086.0869565217392</c:v>
                </c:pt>
                <c:pt idx="8">
                  <c:v>1081.304347826087</c:v>
                </c:pt>
                <c:pt idx="9">
                  <c:v>1076.5217391304348</c:v>
                </c:pt>
                <c:pt idx="10">
                  <c:v>1071.7391304347825</c:v>
                </c:pt>
                <c:pt idx="11">
                  <c:v>1066.9565217391305</c:v>
                </c:pt>
                <c:pt idx="12">
                  <c:v>1062.1739130434783</c:v>
                </c:pt>
                <c:pt idx="13">
                  <c:v>1057.391304347826</c:v>
                </c:pt>
                <c:pt idx="14">
                  <c:v>1052.608695652174</c:v>
                </c:pt>
                <c:pt idx="15">
                  <c:v>1047.8260869565217</c:v>
                </c:pt>
                <c:pt idx="16">
                  <c:v>1043.0434782608695</c:v>
                </c:pt>
                <c:pt idx="17">
                  <c:v>1038.2608695652175</c:v>
                </c:pt>
                <c:pt idx="18">
                  <c:v>1033.4782608695652</c:v>
                </c:pt>
                <c:pt idx="19">
                  <c:v>1028.695652173913</c:v>
                </c:pt>
                <c:pt idx="20">
                  <c:v>1023.9130434782609</c:v>
                </c:pt>
                <c:pt idx="21">
                  <c:v>1019.1304347826087</c:v>
                </c:pt>
                <c:pt idx="22">
                  <c:v>1014.3478260869565</c:v>
                </c:pt>
                <c:pt idx="23">
                  <c:v>1009.5652173913044</c:v>
                </c:pt>
                <c:pt idx="24">
                  <c:v>1004.7826086956521</c:v>
                </c:pt>
                <c:pt idx="25">
                  <c:v>1000</c:v>
                </c:pt>
              </c:numCache>
            </c:numRef>
          </c:val>
          <c:smooth val="0"/>
        </c:ser>
        <c:ser>
          <c:idx val="3"/>
          <c:order val="3"/>
          <c:tx>
            <c:v>Par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CASE27I!$A$98:$A$123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CASE27I!$G$98:$G$123</c:f>
              <c:numCache>
                <c:ptCount val="26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</c:numCache>
            </c:numRef>
          </c:val>
          <c:smooth val="0"/>
        </c:ser>
        <c:ser>
          <c:idx val="4"/>
          <c:order val="4"/>
          <c:tx>
            <c:v>Mkt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CASE27I!$A$98:$A$123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CASE27I!$H$98:$H$123</c:f>
              <c:numCache>
                <c:ptCount val="26"/>
                <c:pt idx="0">
                  <c:v>1000</c:v>
                </c:pt>
                <c:pt idx="1">
                  <c:v>1025.1316934528938</c:v>
                </c:pt>
                <c:pt idx="2">
                  <c:v>1050.8949889215978</c:v>
                </c:pt>
                <c:pt idx="3">
                  <c:v>1077.3057596343576</c:v>
                </c:pt>
                <c:pt idx="4">
                  <c:v>1104.380277740525</c:v>
                </c:pt>
                <c:pt idx="5">
                  <c:v>1132.1352243361216</c:v>
                </c:pt>
                <c:pt idx="6">
                  <c:v>1160.58769974136</c:v>
                </c:pt>
                <c:pt idx="7">
                  <c:v>1189.755234036459</c:v>
                </c:pt>
                <c:pt idx="8">
                  <c:v>1219.655797862239</c:v>
                </c:pt>
                <c:pt idx="9">
                  <c:v>1250.3078134921575</c:v>
                </c:pt>
                <c:pt idx="10">
                  <c:v>1281.7301661826002</c:v>
                </c:pt>
                <c:pt idx="11">
                  <c:v>1313.942215808428</c:v>
                </c:pt>
                <c:pt idx="12">
                  <c:v>1346.9638087909411</c:v>
                </c:pt>
                <c:pt idx="13">
                  <c:v>1380.8152903256175</c:v>
                </c:pt>
                <c:pt idx="14">
                  <c:v>1415.5175169171491</c:v>
                </c:pt>
                <c:pt idx="15">
                  <c:v>1451.0918692295124</c:v>
                </c:pt>
                <c:pt idx="16">
                  <c:v>1523.6464626905913</c:v>
                </c:pt>
                <c:pt idx="17">
                  <c:v>1599.828785825121</c:v>
                </c:pt>
                <c:pt idx="18">
                  <c:v>1679.8202251163773</c:v>
                </c:pt>
                <c:pt idx="19">
                  <c:v>1763.811236372196</c:v>
                </c:pt>
                <c:pt idx="20">
                  <c:v>1852.0017981908059</c:v>
                </c:pt>
                <c:pt idx="21">
                  <c:v>1944.601888100346</c:v>
                </c:pt>
                <c:pt idx="22">
                  <c:v>2041.8319825053632</c:v>
                </c:pt>
                <c:pt idx="23">
                  <c:v>2143.923581630632</c:v>
                </c:pt>
                <c:pt idx="24">
                  <c:v>2251.119760712163</c:v>
                </c:pt>
                <c:pt idx="25">
                  <c:v>2363.675748747771</c:v>
                </c:pt>
              </c:numCache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1870665"/>
        <c:crosses val="autoZero"/>
        <c:auto val="0"/>
        <c:lblOffset val="100"/>
        <c:tickLblSkip val="5"/>
        <c:noMultiLvlLbl val="0"/>
      </c:catAx>
      <c:valAx>
        <c:axId val="1187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5772150"/>
    <xdr:graphicFrame>
      <xdr:nvGraphicFramePr>
        <xdr:cNvPr id="1" name="Chart 1"/>
        <xdr:cNvGraphicFramePr/>
      </xdr:nvGraphicFramePr>
      <xdr:xfrm>
        <a:off x="0" y="0"/>
        <a:ext cx="95345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6"/>
  <sheetViews>
    <sheetView showGridLines="0" tabSelected="1" workbookViewId="0" topLeftCell="A1">
      <selection activeCell="A16" sqref="A16"/>
    </sheetView>
  </sheetViews>
  <sheetFormatPr defaultColWidth="9.625" defaultRowHeight="12.75"/>
  <cols>
    <col min="1" max="1" width="4.625" style="0" customWidth="1"/>
    <col min="4" max="4" width="9.75390625" style="0" customWidth="1"/>
    <col min="5" max="5" width="3.625" style="0" customWidth="1"/>
    <col min="6" max="6" width="11.00390625" style="0" customWidth="1"/>
    <col min="7" max="7" width="14.25390625" style="0" customWidth="1"/>
    <col min="8" max="8" width="10.625" style="0" customWidth="1"/>
    <col min="9" max="9" width="11.625" style="0" customWidth="1"/>
  </cols>
  <sheetData>
    <row r="1" spans="1:8" ht="12">
      <c r="A1" s="1" t="s">
        <v>129</v>
      </c>
      <c r="B1" s="2"/>
      <c r="C1" s="3"/>
      <c r="D1" s="3"/>
      <c r="E1" s="3"/>
      <c r="F1" s="4"/>
      <c r="G1" s="2"/>
      <c r="H1" s="2"/>
    </row>
    <row r="3" spans="1:7" ht="12">
      <c r="A3" s="3" t="s">
        <v>0</v>
      </c>
      <c r="B3" s="3"/>
      <c r="C3" s="3"/>
      <c r="D3" s="3"/>
      <c r="E3" s="3"/>
      <c r="F3" s="3"/>
      <c r="G3" s="3"/>
    </row>
    <row r="4" spans="1:7" ht="12">
      <c r="A4" s="3" t="s">
        <v>1</v>
      </c>
      <c r="B4" s="3"/>
      <c r="C4" s="3"/>
      <c r="D4" s="3"/>
      <c r="E4" s="3"/>
      <c r="F4" s="3"/>
      <c r="G4" s="3"/>
    </row>
    <row r="6" ht="12">
      <c r="A6" s="5" t="s">
        <v>2</v>
      </c>
    </row>
    <row r="7" ht="12">
      <c r="A7" s="5" t="s">
        <v>3</v>
      </c>
    </row>
    <row r="8" ht="12">
      <c r="A8" s="5" t="s">
        <v>4</v>
      </c>
    </row>
    <row r="9" ht="12">
      <c r="A9" s="5" t="s">
        <v>5</v>
      </c>
    </row>
    <row r="10" ht="12">
      <c r="A10" s="5" t="s">
        <v>6</v>
      </c>
    </row>
    <row r="12" ht="12">
      <c r="A12" s="5" t="s">
        <v>7</v>
      </c>
    </row>
    <row r="13" ht="12">
      <c r="A13" s="5" t="s">
        <v>8</v>
      </c>
    </row>
    <row r="15" spans="1:9" ht="12">
      <c r="A15" s="5" t="s">
        <v>130</v>
      </c>
      <c r="H15" s="56"/>
      <c r="I15" s="56"/>
    </row>
    <row r="16" ht="12">
      <c r="A16" s="5" t="s">
        <v>9</v>
      </c>
    </row>
    <row r="17" ht="12">
      <c r="A17" s="5" t="s">
        <v>10</v>
      </c>
    </row>
    <row r="18" spans="1:7" ht="12">
      <c r="A18" s="5" t="s">
        <v>11</v>
      </c>
      <c r="G18" s="5"/>
    </row>
    <row r="20" spans="1:9" ht="12">
      <c r="A20" s="6" t="s">
        <v>12</v>
      </c>
      <c r="B20" s="6" t="s">
        <v>12</v>
      </c>
      <c r="C20" s="6" t="s">
        <v>12</v>
      </c>
      <c r="D20" s="6" t="s">
        <v>12</v>
      </c>
      <c r="E20" s="6" t="s">
        <v>12</v>
      </c>
      <c r="F20" s="6" t="s">
        <v>12</v>
      </c>
      <c r="G20" s="6" t="s">
        <v>12</v>
      </c>
      <c r="H20" s="6" t="s">
        <v>12</v>
      </c>
      <c r="I20" s="6" t="s">
        <v>12</v>
      </c>
    </row>
    <row r="21" spans="1:6" ht="12">
      <c r="A21" s="1" t="s">
        <v>13</v>
      </c>
      <c r="C21" s="2"/>
      <c r="F21" s="7" t="s">
        <v>14</v>
      </c>
    </row>
    <row r="23" spans="1:6" ht="12">
      <c r="A23" s="1" t="s">
        <v>15</v>
      </c>
      <c r="E23" s="2"/>
      <c r="F23" s="1" t="s">
        <v>16</v>
      </c>
    </row>
    <row r="25" spans="1:9" ht="12">
      <c r="A25" s="5" t="s">
        <v>17</v>
      </c>
      <c r="D25" s="8">
        <v>60000</v>
      </c>
      <c r="F25" s="5" t="s">
        <v>18</v>
      </c>
      <c r="I25" s="9">
        <f>$C$161</f>
        <v>0.04414678839772281</v>
      </c>
    </row>
    <row r="26" spans="1:9" ht="12">
      <c r="A26" s="5" t="s">
        <v>19</v>
      </c>
      <c r="D26" s="10">
        <v>0.05</v>
      </c>
      <c r="F26" s="5" t="s">
        <v>20</v>
      </c>
      <c r="I26" s="9">
        <f>$G$161</f>
        <v>0.03021867947982822</v>
      </c>
    </row>
    <row r="27" spans="1:9" ht="12">
      <c r="A27" s="5" t="s">
        <v>21</v>
      </c>
      <c r="D27" s="10">
        <v>0.12</v>
      </c>
      <c r="F27" s="5" t="s">
        <v>22</v>
      </c>
      <c r="I27" s="9">
        <f>$C$206</f>
        <v>0.1058</v>
      </c>
    </row>
    <row r="28" spans="1:9" ht="12">
      <c r="A28" s="5" t="s">
        <v>23</v>
      </c>
      <c r="D28" s="10">
        <v>0.4</v>
      </c>
      <c r="F28" s="5" t="s">
        <v>24</v>
      </c>
      <c r="I28" s="9">
        <f>$C$198</f>
        <v>0.04414678839772281</v>
      </c>
    </row>
    <row r="29" spans="6:9" ht="12">
      <c r="F29" s="5" t="s">
        <v>25</v>
      </c>
      <c r="I29" s="9">
        <f>$C$215</f>
        <v>0.03021867947982822</v>
      </c>
    </row>
    <row r="30" spans="1:9" ht="12">
      <c r="A30" s="1" t="s">
        <v>26</v>
      </c>
      <c r="B30" s="2"/>
      <c r="C30" s="2"/>
      <c r="D30" s="2"/>
      <c r="F30" s="5" t="s">
        <v>27</v>
      </c>
      <c r="I30" s="9">
        <f>$C$253</f>
        <v>0.0025366426356362225</v>
      </c>
    </row>
    <row r="32" spans="1:6" ht="12">
      <c r="A32" s="5" t="s">
        <v>28</v>
      </c>
      <c r="D32" s="11">
        <v>17.45</v>
      </c>
      <c r="F32" s="1" t="s">
        <v>29</v>
      </c>
    </row>
    <row r="33" spans="1:4" ht="12">
      <c r="A33" s="5" t="s">
        <v>30</v>
      </c>
      <c r="D33" s="12">
        <v>9000</v>
      </c>
    </row>
    <row r="34" spans="1:9" ht="12">
      <c r="A34" s="5" t="s">
        <v>31</v>
      </c>
      <c r="D34" s="8">
        <v>40000</v>
      </c>
      <c r="F34" s="5" t="s">
        <v>18</v>
      </c>
      <c r="I34" s="9">
        <f>$C$187</f>
        <v>0.046947725670384244</v>
      </c>
    </row>
    <row r="35" spans="1:9" ht="12">
      <c r="A35" s="5" t="s">
        <v>32</v>
      </c>
      <c r="D35" s="10">
        <v>0.085</v>
      </c>
      <c r="F35" s="5" t="s">
        <v>20</v>
      </c>
      <c r="I35" s="9">
        <f>$G$187</f>
        <v>0.03232470011954642</v>
      </c>
    </row>
    <row r="36" spans="1:9" ht="12">
      <c r="A36" s="5" t="s">
        <v>33</v>
      </c>
      <c r="D36" s="2">
        <v>220</v>
      </c>
      <c r="F36" s="5" t="s">
        <v>27</v>
      </c>
      <c r="I36" s="9">
        <f>$G$253</f>
        <v>0.00415251877260207</v>
      </c>
    </row>
    <row r="37" spans="1:4" ht="12">
      <c r="A37" s="5" t="s">
        <v>34</v>
      </c>
      <c r="D37" s="8">
        <v>1000</v>
      </c>
    </row>
    <row r="38" spans="1:4" ht="12">
      <c r="A38" s="5" t="s">
        <v>35</v>
      </c>
      <c r="D38" s="10">
        <v>0.09</v>
      </c>
    </row>
    <row r="39" spans="1:4" ht="12">
      <c r="A39" s="5" t="s">
        <v>36</v>
      </c>
      <c r="D39" s="10">
        <v>0.105</v>
      </c>
    </row>
    <row r="40" spans="1:9" ht="12">
      <c r="A40" s="5" t="s">
        <v>37</v>
      </c>
      <c r="D40" s="2">
        <v>15</v>
      </c>
      <c r="G40" s="2"/>
      <c r="H40" s="2"/>
      <c r="I40" s="2"/>
    </row>
    <row r="42" ht="12">
      <c r="A42" s="23" t="s">
        <v>38</v>
      </c>
    </row>
    <row r="44" spans="1:4" ht="12">
      <c r="A44" s="5" t="s">
        <v>34</v>
      </c>
      <c r="D44" s="8">
        <v>1000</v>
      </c>
    </row>
    <row r="45" spans="1:4" ht="12">
      <c r="A45" s="5" t="s">
        <v>35</v>
      </c>
      <c r="D45" s="10">
        <v>0.1</v>
      </c>
    </row>
    <row r="46" spans="1:6" ht="12">
      <c r="A46" s="5" t="s">
        <v>39</v>
      </c>
      <c r="D46" s="2">
        <v>25</v>
      </c>
      <c r="F46" s="7" t="s">
        <v>40</v>
      </c>
    </row>
    <row r="47" spans="1:4" ht="12">
      <c r="A47" s="5" t="s">
        <v>41</v>
      </c>
      <c r="D47" s="2">
        <v>80</v>
      </c>
    </row>
    <row r="48" spans="1:6" ht="12">
      <c r="A48" s="5" t="s">
        <v>42</v>
      </c>
      <c r="D48" s="8">
        <v>20</v>
      </c>
      <c r="F48" s="1" t="s">
        <v>16</v>
      </c>
    </row>
    <row r="49" spans="1:4" ht="12">
      <c r="A49" s="5" t="s">
        <v>43</v>
      </c>
      <c r="D49" s="2">
        <v>6</v>
      </c>
    </row>
    <row r="50" spans="6:9" ht="12">
      <c r="F50" s="5" t="s">
        <v>18</v>
      </c>
      <c r="I50" s="9">
        <f>$C$161</f>
        <v>0.04414678839772281</v>
      </c>
    </row>
    <row r="51" spans="1:9" ht="12">
      <c r="A51" s="23" t="s">
        <v>44</v>
      </c>
      <c r="D51" s="11"/>
      <c r="F51" s="5" t="s">
        <v>20</v>
      </c>
      <c r="I51" s="9">
        <f>$G$161</f>
        <v>0.03021867947982822</v>
      </c>
    </row>
    <row r="52" spans="6:9" ht="12">
      <c r="F52" s="5" t="s">
        <v>22</v>
      </c>
      <c r="I52" s="9">
        <f>$C$206</f>
        <v>0.1058</v>
      </c>
    </row>
    <row r="53" spans="1:9" ht="12">
      <c r="A53" s="5" t="s">
        <v>34</v>
      </c>
      <c r="D53" s="8">
        <v>1000</v>
      </c>
      <c r="F53" s="5" t="s">
        <v>24</v>
      </c>
      <c r="I53" s="9">
        <f>$C$198</f>
        <v>0.04414678839772281</v>
      </c>
    </row>
    <row r="54" spans="1:9" ht="12">
      <c r="A54" s="5" t="s">
        <v>35</v>
      </c>
      <c r="D54" s="10">
        <v>0.09</v>
      </c>
      <c r="F54" s="5" t="s">
        <v>25</v>
      </c>
      <c r="I54" s="9">
        <f>$C$215</f>
        <v>0.03021867947982822</v>
      </c>
    </row>
    <row r="55" spans="1:9" ht="12">
      <c r="A55" s="5" t="s">
        <v>45</v>
      </c>
      <c r="D55" s="13">
        <v>25</v>
      </c>
      <c r="F55" s="5" t="s">
        <v>27</v>
      </c>
      <c r="I55" s="9">
        <f>$C$253</f>
        <v>0.0025366426356362225</v>
      </c>
    </row>
    <row r="56" spans="1:4" ht="12">
      <c r="A56" s="5" t="s">
        <v>46</v>
      </c>
      <c r="D56" s="8">
        <v>90</v>
      </c>
    </row>
    <row r="57" spans="1:6" ht="12">
      <c r="A57" s="5" t="s">
        <v>47</v>
      </c>
      <c r="D57" s="11">
        <f>D56/23</f>
        <v>3.9130434782608696</v>
      </c>
      <c r="F57" s="1" t="s">
        <v>29</v>
      </c>
    </row>
    <row r="58" spans="1:4" ht="12">
      <c r="A58" s="5" t="s">
        <v>48</v>
      </c>
      <c r="D58" s="13">
        <v>50</v>
      </c>
    </row>
    <row r="59" spans="6:9" ht="12">
      <c r="F59" s="5" t="s">
        <v>18</v>
      </c>
      <c r="I59" s="9">
        <f>$C$187</f>
        <v>0.046947725670384244</v>
      </c>
    </row>
    <row r="60" spans="1:9" ht="12">
      <c r="A60" s="23" t="s">
        <v>49</v>
      </c>
      <c r="D60" s="11"/>
      <c r="F60" s="5" t="s">
        <v>20</v>
      </c>
      <c r="I60" s="9">
        <f>$G$187</f>
        <v>0.03232470011954642</v>
      </c>
    </row>
    <row r="61" spans="1:9" ht="12">
      <c r="A61" s="5" t="s">
        <v>34</v>
      </c>
      <c r="D61" s="8">
        <v>1000</v>
      </c>
      <c r="F61" s="5" t="s">
        <v>27</v>
      </c>
      <c r="I61" s="9">
        <f>$G$253</f>
        <v>0.00415251877260207</v>
      </c>
    </row>
    <row r="62" spans="1:4" ht="12">
      <c r="A62" s="5" t="s">
        <v>35</v>
      </c>
      <c r="D62" s="10">
        <v>0.11</v>
      </c>
    </row>
    <row r="63" spans="1:4" ht="12">
      <c r="A63" s="5" t="s">
        <v>45</v>
      </c>
      <c r="D63" s="13">
        <v>25</v>
      </c>
    </row>
    <row r="64" spans="1:4" ht="12">
      <c r="A64" s="5" t="s">
        <v>46</v>
      </c>
      <c r="D64" s="8">
        <v>110</v>
      </c>
    </row>
    <row r="65" spans="1:4" ht="12">
      <c r="A65" s="5" t="s">
        <v>47</v>
      </c>
      <c r="D65" s="11">
        <f>D64/23</f>
        <v>4.782608695652174</v>
      </c>
    </row>
    <row r="66" spans="1:4" ht="12">
      <c r="A66" s="5" t="s">
        <v>48</v>
      </c>
      <c r="D66" s="13">
        <v>40</v>
      </c>
    </row>
    <row r="67" spans="1:4" ht="12">
      <c r="A67" s="5" t="s">
        <v>50</v>
      </c>
      <c r="D67" s="10">
        <f>RATE(A113,,-D61,B113)</f>
        <v>0.02513169345289376</v>
      </c>
    </row>
    <row r="69" ht="12">
      <c r="A69" s="1" t="s">
        <v>51</v>
      </c>
    </row>
    <row r="71" spans="1:4" ht="12">
      <c r="A71" s="5" t="s">
        <v>52</v>
      </c>
      <c r="D71" s="10">
        <v>0.085</v>
      </c>
    </row>
    <row r="72" spans="1:4" ht="12">
      <c r="A72" s="5" t="s">
        <v>53</v>
      </c>
      <c r="D72" s="10">
        <v>0.105</v>
      </c>
    </row>
    <row r="73" spans="1:4" ht="12">
      <c r="A73" s="5" t="s">
        <v>54</v>
      </c>
      <c r="D73" s="10">
        <v>0.161</v>
      </c>
    </row>
    <row r="74" spans="1:4" ht="12">
      <c r="A74" s="5" t="s">
        <v>55</v>
      </c>
      <c r="D74" s="10">
        <v>0.173</v>
      </c>
    </row>
    <row r="76" spans="1:9" ht="12">
      <c r="A76" s="6" t="s">
        <v>12</v>
      </c>
      <c r="B76" s="6" t="s">
        <v>12</v>
      </c>
      <c r="C76" s="6" t="s">
        <v>12</v>
      </c>
      <c r="D76" s="6" t="s">
        <v>12</v>
      </c>
      <c r="E76" s="6" t="s">
        <v>12</v>
      </c>
      <c r="F76" s="6" t="s">
        <v>12</v>
      </c>
      <c r="G76" s="6" t="s">
        <v>12</v>
      </c>
      <c r="H76" s="6" t="s">
        <v>12</v>
      </c>
      <c r="I76" s="6" t="s">
        <v>12</v>
      </c>
    </row>
    <row r="77" ht="12">
      <c r="A77" s="1" t="s">
        <v>56</v>
      </c>
    </row>
    <row r="79" ht="12">
      <c r="A79" s="28" t="s">
        <v>119</v>
      </c>
    </row>
    <row r="80" spans="7:8" ht="12">
      <c r="G80" s="14" t="s">
        <v>57</v>
      </c>
      <c r="H80" s="5" t="s">
        <v>58</v>
      </c>
    </row>
    <row r="81" spans="7:9" ht="12">
      <c r="G81" s="15" t="s">
        <v>59</v>
      </c>
      <c r="H81" s="15" t="s">
        <v>59</v>
      </c>
      <c r="I81" s="5" t="s">
        <v>60</v>
      </c>
    </row>
    <row r="82" spans="1:8" ht="12">
      <c r="A82" s="5" t="s">
        <v>61</v>
      </c>
      <c r="G82" s="24"/>
      <c r="H82" s="54" t="e">
        <f>ROUND(G82/$G$89,2)</f>
        <v>#DIV/0!</v>
      </c>
    </row>
    <row r="83" spans="1:8" ht="12">
      <c r="A83" s="5" t="s">
        <v>53</v>
      </c>
      <c r="G83" s="26"/>
      <c r="H83" s="54" t="e">
        <f>ROUND(G83/$G$89,2)</f>
        <v>#DIV/0!</v>
      </c>
    </row>
    <row r="84" spans="7:8" ht="12">
      <c r="G84" s="17" t="s">
        <v>62</v>
      </c>
      <c r="H84" s="55" t="s">
        <v>63</v>
      </c>
    </row>
    <row r="85" spans="1:8" ht="12">
      <c r="A85" s="5" t="s">
        <v>64</v>
      </c>
      <c r="G85" s="53">
        <f>G82+G83</f>
        <v>0</v>
      </c>
      <c r="H85" s="54" t="e">
        <f>ROUND(G85/$G$89,2)</f>
        <v>#DIV/0!</v>
      </c>
    </row>
    <row r="86" ht="12">
      <c r="H86" s="56"/>
    </row>
    <row r="87" spans="1:8" ht="12">
      <c r="A87" s="5" t="s">
        <v>55</v>
      </c>
      <c r="G87" s="26"/>
      <c r="H87" s="54" t="e">
        <f>ROUND(G87/$G$89,2)</f>
        <v>#DIV/0!</v>
      </c>
    </row>
    <row r="88" spans="7:8" ht="12">
      <c r="G88" s="17" t="s">
        <v>62</v>
      </c>
      <c r="H88" s="55" t="s">
        <v>63</v>
      </c>
    </row>
    <row r="89" spans="1:8" ht="12">
      <c r="A89" s="5" t="s">
        <v>65</v>
      </c>
      <c r="G89" s="53">
        <f>G85+G87</f>
        <v>0</v>
      </c>
      <c r="H89" s="54" t="e">
        <f>ROUND(G89/$G$89,2)</f>
        <v>#DIV/0!</v>
      </c>
    </row>
    <row r="90" spans="7:8" ht="12">
      <c r="G90" s="18" t="s">
        <v>66</v>
      </c>
      <c r="H90" s="18" t="s">
        <v>67</v>
      </c>
    </row>
    <row r="92" spans="1:4" ht="12">
      <c r="A92" s="28" t="s">
        <v>121</v>
      </c>
      <c r="D92" s="16"/>
    </row>
    <row r="94" ht="12">
      <c r="B94" s="31" t="s">
        <v>122</v>
      </c>
    </row>
    <row r="95" spans="2:8" ht="12">
      <c r="B95" s="31" t="s">
        <v>123</v>
      </c>
      <c r="C95" s="14" t="s">
        <v>68</v>
      </c>
      <c r="D95" s="32" t="s">
        <v>69</v>
      </c>
      <c r="E95" s="5" t="s">
        <v>70</v>
      </c>
      <c r="G95" s="14" t="s">
        <v>71</v>
      </c>
      <c r="H95" s="14" t="s">
        <v>72</v>
      </c>
    </row>
    <row r="96" spans="1:8" ht="12">
      <c r="A96" s="5" t="s">
        <v>73</v>
      </c>
      <c r="B96" s="14" t="s">
        <v>74</v>
      </c>
      <c r="C96" s="14" t="s">
        <v>75</v>
      </c>
      <c r="D96" s="32" t="s">
        <v>76</v>
      </c>
      <c r="G96" s="14" t="s">
        <v>77</v>
      </c>
      <c r="H96" s="14" t="s">
        <v>75</v>
      </c>
    </row>
    <row r="97" spans="1:8" ht="12">
      <c r="A97" s="18" t="s">
        <v>78</v>
      </c>
      <c r="B97" s="18" t="s">
        <v>63</v>
      </c>
      <c r="C97" s="18" t="s">
        <v>63</v>
      </c>
      <c r="D97" s="18" t="s">
        <v>63</v>
      </c>
      <c r="G97" s="18" t="s">
        <v>63</v>
      </c>
      <c r="H97" s="18" t="s">
        <v>63</v>
      </c>
    </row>
    <row r="98" spans="1:8" ht="12">
      <c r="A98" s="19">
        <v>0</v>
      </c>
      <c r="B98" s="20">
        <f aca="true" t="shared" si="0" ref="B98:B123">$D$32*(1+$D$26)^A98*$D$66</f>
        <v>698</v>
      </c>
      <c r="C98" s="20">
        <f>-PV($D$27,$D$63-A98,$D$62*$D$61,$D$61)</f>
        <v>921.5686088793544</v>
      </c>
      <c r="D98" s="20">
        <f aca="true" t="shared" si="1" ref="D98:D123">$D$61+$D$64-IF(A98&lt;2,0,+$D$65*(A98-2))</f>
        <v>1110</v>
      </c>
      <c r="G98" s="49">
        <f aca="true" t="shared" si="2" ref="G98:G123">$D$61</f>
        <v>1000</v>
      </c>
      <c r="H98" s="20">
        <f aca="true" t="shared" si="3" ref="H98:H123">IF(G98*(1+$D$67)^A98&gt;B98,G98*(1+$D$67)^A98,B98)</f>
        <v>1000</v>
      </c>
    </row>
    <row r="99" spans="1:8" ht="12">
      <c r="A99" s="19">
        <v>1</v>
      </c>
      <c r="B99" s="20">
        <f t="shared" si="0"/>
        <v>732.9000000000001</v>
      </c>
      <c r="C99" s="20">
        <f aca="true" t="shared" si="4" ref="C99:C112">-PV($D$27,$D$63-A99,$D$62*$D$61,$D$61)</f>
        <v>922.156841944877</v>
      </c>
      <c r="D99" s="20">
        <f t="shared" si="1"/>
        <v>1110</v>
      </c>
      <c r="G99" s="49">
        <f t="shared" si="2"/>
        <v>1000</v>
      </c>
      <c r="H99" s="20">
        <f t="shared" si="3"/>
        <v>1025.1316934528938</v>
      </c>
    </row>
    <row r="100" spans="1:8" ht="12">
      <c r="A100" s="19">
        <v>2</v>
      </c>
      <c r="B100" s="20">
        <f t="shared" si="0"/>
        <v>769.545</v>
      </c>
      <c r="C100" s="20">
        <f t="shared" si="4"/>
        <v>922.8156629782623</v>
      </c>
      <c r="D100" s="20">
        <f t="shared" si="1"/>
        <v>1110</v>
      </c>
      <c r="G100" s="49">
        <f t="shared" si="2"/>
        <v>1000</v>
      </c>
      <c r="H100" s="20">
        <f t="shared" si="3"/>
        <v>1050.8949889215978</v>
      </c>
    </row>
    <row r="101" spans="1:8" ht="12">
      <c r="A101" s="19">
        <v>3</v>
      </c>
      <c r="B101" s="20">
        <f t="shared" si="0"/>
        <v>808.0222500000001</v>
      </c>
      <c r="C101" s="20">
        <f t="shared" si="4"/>
        <v>923.5535425356538</v>
      </c>
      <c r="D101" s="20">
        <f t="shared" si="1"/>
        <v>1105.2173913043478</v>
      </c>
      <c r="G101" s="49">
        <f t="shared" si="2"/>
        <v>1000</v>
      </c>
      <c r="H101" s="20">
        <f t="shared" si="3"/>
        <v>1077.3057596343576</v>
      </c>
    </row>
    <row r="102" spans="1:8" ht="12">
      <c r="A102" s="19">
        <v>4</v>
      </c>
      <c r="B102" s="20">
        <f t="shared" si="0"/>
        <v>848.4233625</v>
      </c>
      <c r="C102" s="20">
        <f t="shared" si="4"/>
        <v>924.3799676399323</v>
      </c>
      <c r="D102" s="20">
        <f t="shared" si="1"/>
        <v>1100.4347826086957</v>
      </c>
      <c r="G102" s="49">
        <f t="shared" si="2"/>
        <v>1000</v>
      </c>
      <c r="H102" s="20">
        <f t="shared" si="3"/>
        <v>1104.380277740525</v>
      </c>
    </row>
    <row r="103" spans="1:8" ht="12">
      <c r="A103" s="19">
        <f>A98+5</f>
        <v>5</v>
      </c>
      <c r="B103" s="20">
        <f t="shared" si="0"/>
        <v>890.8445306250001</v>
      </c>
      <c r="C103" s="20">
        <f t="shared" si="4"/>
        <v>925.305563756724</v>
      </c>
      <c r="D103" s="20">
        <f t="shared" si="1"/>
        <v>1095.6521739130435</v>
      </c>
      <c r="G103" s="49">
        <f t="shared" si="2"/>
        <v>1000</v>
      </c>
      <c r="H103" s="20">
        <f t="shared" si="3"/>
        <v>1132.1352243361216</v>
      </c>
    </row>
    <row r="104" spans="1:8" ht="12">
      <c r="A104" s="19">
        <v>6</v>
      </c>
      <c r="B104" s="20">
        <f t="shared" si="0"/>
        <v>935.3867571562499</v>
      </c>
      <c r="C104" s="20">
        <f t="shared" si="4"/>
        <v>926.3422314075309</v>
      </c>
      <c r="D104" s="20">
        <f t="shared" si="1"/>
        <v>1090.8695652173913</v>
      </c>
      <c r="G104" s="49">
        <f t="shared" si="2"/>
        <v>1000</v>
      </c>
      <c r="H104" s="20">
        <f t="shared" si="3"/>
        <v>1160.58769974136</v>
      </c>
    </row>
    <row r="105" spans="1:8" ht="12">
      <c r="A105" s="19">
        <v>7</v>
      </c>
      <c r="B105" s="20">
        <f t="shared" si="0"/>
        <v>982.1560950140627</v>
      </c>
      <c r="C105" s="20">
        <f t="shared" si="4"/>
        <v>927.5032991764347</v>
      </c>
      <c r="D105" s="20">
        <f t="shared" si="1"/>
        <v>1086.0869565217392</v>
      </c>
      <c r="G105" s="49">
        <f t="shared" si="2"/>
        <v>1000</v>
      </c>
      <c r="H105" s="20">
        <f t="shared" si="3"/>
        <v>1189.755234036459</v>
      </c>
    </row>
    <row r="106" spans="1:8" ht="12">
      <c r="A106" s="19">
        <v>8</v>
      </c>
      <c r="B106" s="20">
        <f t="shared" si="0"/>
        <v>1031.2638997647655</v>
      </c>
      <c r="C106" s="20">
        <f>-PV($D$27,$D$63-A106,$D$62*$D$61,$D$61)</f>
        <v>928.8036950776068</v>
      </c>
      <c r="D106" s="20">
        <f t="shared" si="1"/>
        <v>1081.304347826087</v>
      </c>
      <c r="G106" s="49">
        <f t="shared" si="2"/>
        <v>1000</v>
      </c>
      <c r="H106" s="20">
        <f t="shared" si="3"/>
        <v>1219.655797862239</v>
      </c>
    </row>
    <row r="107" spans="1:8" ht="12">
      <c r="A107" s="19">
        <v>9</v>
      </c>
      <c r="B107" s="20">
        <f t="shared" si="0"/>
        <v>1082.8270947530038</v>
      </c>
      <c r="C107" s="20">
        <f t="shared" si="4"/>
        <v>930.2601384869197</v>
      </c>
      <c r="D107" s="20">
        <f t="shared" si="1"/>
        <v>1076.5217391304348</v>
      </c>
      <c r="G107" s="49">
        <f t="shared" si="2"/>
        <v>1000</v>
      </c>
      <c r="H107" s="20">
        <f t="shared" si="3"/>
        <v>1250.3078134921575</v>
      </c>
    </row>
    <row r="108" spans="1:8" ht="12">
      <c r="A108" s="19">
        <f>A103+5</f>
        <v>10</v>
      </c>
      <c r="B108" s="20">
        <f t="shared" si="0"/>
        <v>1136.9684494906542</v>
      </c>
      <c r="C108" s="20">
        <f t="shared" si="4"/>
        <v>931.8913551053499</v>
      </c>
      <c r="D108" s="20">
        <f t="shared" si="1"/>
        <v>1071.7391304347825</v>
      </c>
      <c r="G108" s="49">
        <f t="shared" si="2"/>
        <v>1000</v>
      </c>
      <c r="H108" s="20">
        <f t="shared" si="3"/>
        <v>1281.7301661826002</v>
      </c>
    </row>
    <row r="109" spans="1:8" ht="12">
      <c r="A109" s="19">
        <v>11</v>
      </c>
      <c r="B109" s="20">
        <f t="shared" si="0"/>
        <v>1193.816871965187</v>
      </c>
      <c r="C109" s="20">
        <f t="shared" si="4"/>
        <v>933.7183177179919</v>
      </c>
      <c r="D109" s="20">
        <f t="shared" si="1"/>
        <v>1066.9565217391305</v>
      </c>
      <c r="G109" s="49">
        <f t="shared" si="2"/>
        <v>1000</v>
      </c>
      <c r="H109" s="20">
        <f t="shared" si="3"/>
        <v>1313.942215808428</v>
      </c>
    </row>
    <row r="110" spans="1:8" ht="12">
      <c r="A110" s="19">
        <v>12</v>
      </c>
      <c r="B110" s="20">
        <f t="shared" si="0"/>
        <v>1253.507715563446</v>
      </c>
      <c r="C110" s="20">
        <f t="shared" si="4"/>
        <v>935.7645158441509</v>
      </c>
      <c r="D110" s="20">
        <f t="shared" si="1"/>
        <v>1062.1739130434783</v>
      </c>
      <c r="G110" s="49">
        <f t="shared" si="2"/>
        <v>1000</v>
      </c>
      <c r="H110" s="20">
        <f t="shared" si="3"/>
        <v>1346.9638087909411</v>
      </c>
    </row>
    <row r="111" spans="1:8" ht="12">
      <c r="A111" s="19">
        <v>13</v>
      </c>
      <c r="B111" s="20">
        <f t="shared" si="0"/>
        <v>1316.1831013416188</v>
      </c>
      <c r="C111" s="20">
        <f t="shared" si="4"/>
        <v>938.0562577454491</v>
      </c>
      <c r="D111" s="20">
        <f t="shared" si="1"/>
        <v>1057.391304347826</v>
      </c>
      <c r="E111" s="20"/>
      <c r="F111" s="20"/>
      <c r="G111" s="49">
        <f t="shared" si="2"/>
        <v>1000</v>
      </c>
      <c r="H111" s="20">
        <f t="shared" si="3"/>
        <v>1380.8152903256175</v>
      </c>
    </row>
    <row r="112" spans="1:8" ht="12">
      <c r="A112" s="19">
        <v>14</v>
      </c>
      <c r="B112" s="20">
        <f t="shared" si="0"/>
        <v>1381.9922564086994</v>
      </c>
      <c r="C112" s="20">
        <f t="shared" si="4"/>
        <v>940.6230086749031</v>
      </c>
      <c r="D112" s="20">
        <f t="shared" si="1"/>
        <v>1052.608695652174</v>
      </c>
      <c r="E112" s="20"/>
      <c r="F112" s="20"/>
      <c r="G112" s="49">
        <f t="shared" si="2"/>
        <v>1000</v>
      </c>
      <c r="H112" s="20">
        <f t="shared" si="3"/>
        <v>1415.5175169171491</v>
      </c>
    </row>
    <row r="113" spans="1:8" ht="12">
      <c r="A113" s="50">
        <v>15</v>
      </c>
      <c r="B113" s="30">
        <f t="shared" si="0"/>
        <v>1451.0918692291348</v>
      </c>
      <c r="C113" s="30">
        <f>-PV($D$27,$D$63-A113,$D$62*$D$61,$D$61)</f>
        <v>943.4977697158914</v>
      </c>
      <c r="D113" s="30">
        <f t="shared" si="1"/>
        <v>1047.8260869565217</v>
      </c>
      <c r="E113" s="30"/>
      <c r="F113" s="30"/>
      <c r="G113" s="30">
        <f t="shared" si="2"/>
        <v>1000</v>
      </c>
      <c r="H113" s="30">
        <f t="shared" si="3"/>
        <v>1451.0918692295124</v>
      </c>
    </row>
    <row r="114" spans="1:8" ht="12">
      <c r="A114" s="19">
        <v>16</v>
      </c>
      <c r="B114" s="20">
        <f t="shared" si="0"/>
        <v>1523.6464626905913</v>
      </c>
      <c r="C114" s="20">
        <f>-PV($D$27,$D$63-A114,$D$62*$D$61,$D$61)</f>
        <v>946.7175020817983</v>
      </c>
      <c r="D114" s="20">
        <f t="shared" si="1"/>
        <v>1043.0434782608695</v>
      </c>
      <c r="G114" s="49">
        <f t="shared" si="2"/>
        <v>1000</v>
      </c>
      <c r="H114" s="20">
        <f t="shared" si="3"/>
        <v>1523.6464626905913</v>
      </c>
    </row>
    <row r="115" spans="1:8" ht="12">
      <c r="A115" s="19">
        <v>17</v>
      </c>
      <c r="B115" s="20">
        <f t="shared" si="0"/>
        <v>1599.828785825121</v>
      </c>
      <c r="C115" s="20">
        <f aca="true" t="shared" si="5" ref="C115:C121">-PV($D$27,$D$63-A115,$D$62*$D$61,$D$61)</f>
        <v>950.323602331614</v>
      </c>
      <c r="D115" s="20">
        <f t="shared" si="1"/>
        <v>1038.2608695652175</v>
      </c>
      <c r="G115" s="49">
        <f t="shared" si="2"/>
        <v>1000</v>
      </c>
      <c r="H115" s="20">
        <f t="shared" si="3"/>
        <v>1599.828785825121</v>
      </c>
    </row>
    <row r="116" spans="1:8" ht="12">
      <c r="A116" s="19">
        <v>18</v>
      </c>
      <c r="B116" s="20">
        <f t="shared" si="0"/>
        <v>1679.8202251163773</v>
      </c>
      <c r="C116" s="20">
        <f t="shared" si="5"/>
        <v>954.3624346114077</v>
      </c>
      <c r="D116" s="20">
        <f t="shared" si="1"/>
        <v>1033.4782608695652</v>
      </c>
      <c r="G116" s="49">
        <f t="shared" si="2"/>
        <v>1000</v>
      </c>
      <c r="H116" s="20">
        <f t="shared" si="3"/>
        <v>1679.8202251163773</v>
      </c>
    </row>
    <row r="117" spans="1:8" ht="12">
      <c r="A117" s="19">
        <v>19</v>
      </c>
      <c r="B117" s="20">
        <f t="shared" si="0"/>
        <v>1763.811236372196</v>
      </c>
      <c r="C117" s="20">
        <f t="shared" si="5"/>
        <v>958.8859267647767</v>
      </c>
      <c r="D117" s="20">
        <f t="shared" si="1"/>
        <v>1028.695652173913</v>
      </c>
      <c r="G117" s="49">
        <f t="shared" si="2"/>
        <v>1000</v>
      </c>
      <c r="H117" s="20">
        <f t="shared" si="3"/>
        <v>1763.811236372196</v>
      </c>
    </row>
    <row r="118" spans="1:8" ht="12">
      <c r="A118" s="19">
        <f>A113+5</f>
        <v>20</v>
      </c>
      <c r="B118" s="20">
        <f t="shared" si="0"/>
        <v>1852.0017981908059</v>
      </c>
      <c r="C118" s="20">
        <f t="shared" si="5"/>
        <v>963.9522379765499</v>
      </c>
      <c r="D118" s="20">
        <f t="shared" si="1"/>
        <v>1023.9130434782609</v>
      </c>
      <c r="G118" s="49">
        <f t="shared" si="2"/>
        <v>1000</v>
      </c>
      <c r="H118" s="20">
        <f t="shared" si="3"/>
        <v>1852.0017981908059</v>
      </c>
    </row>
    <row r="119" spans="1:8" ht="12">
      <c r="A119" s="19">
        <v>21</v>
      </c>
      <c r="B119" s="20">
        <f t="shared" si="0"/>
        <v>1944.601888100346</v>
      </c>
      <c r="C119" s="20">
        <f t="shared" si="5"/>
        <v>969.626506533736</v>
      </c>
      <c r="D119" s="20">
        <f t="shared" si="1"/>
        <v>1019.1304347826087</v>
      </c>
      <c r="G119" s="49">
        <f t="shared" si="2"/>
        <v>1000</v>
      </c>
      <c r="H119" s="20">
        <f t="shared" si="3"/>
        <v>1944.601888100346</v>
      </c>
    </row>
    <row r="120" spans="1:8" ht="12">
      <c r="A120" s="19">
        <v>22</v>
      </c>
      <c r="B120" s="20">
        <f t="shared" si="0"/>
        <v>2041.8319825053632</v>
      </c>
      <c r="C120" s="20">
        <f t="shared" si="5"/>
        <v>975.9816873177842</v>
      </c>
      <c r="D120" s="20">
        <f t="shared" si="1"/>
        <v>1014.3478260869565</v>
      </c>
      <c r="G120" s="49">
        <f t="shared" si="2"/>
        <v>1000</v>
      </c>
      <c r="H120" s="20">
        <f t="shared" si="3"/>
        <v>2041.8319825053632</v>
      </c>
    </row>
    <row r="121" spans="1:8" ht="12">
      <c r="A121" s="19">
        <v>23</v>
      </c>
      <c r="B121" s="20">
        <f t="shared" si="0"/>
        <v>2143.923581630632</v>
      </c>
      <c r="C121" s="20">
        <f t="shared" si="5"/>
        <v>983.0994897959184</v>
      </c>
      <c r="D121" s="20">
        <f t="shared" si="1"/>
        <v>1009.5652173913044</v>
      </c>
      <c r="G121" s="49">
        <f t="shared" si="2"/>
        <v>1000</v>
      </c>
      <c r="H121" s="20">
        <f t="shared" si="3"/>
        <v>2143.923581630632</v>
      </c>
    </row>
    <row r="122" spans="1:8" ht="12">
      <c r="A122" s="19">
        <v>24</v>
      </c>
      <c r="B122" s="20">
        <f t="shared" si="0"/>
        <v>2251.119760712163</v>
      </c>
      <c r="C122" s="20">
        <f>-PV($D$27,$D$63-A122,$D$62*$D$61,$D$61)</f>
        <v>991.0714285714284</v>
      </c>
      <c r="D122" s="20">
        <f t="shared" si="1"/>
        <v>1004.7826086956521</v>
      </c>
      <c r="G122" s="49">
        <f t="shared" si="2"/>
        <v>1000</v>
      </c>
      <c r="H122" s="20">
        <f t="shared" si="3"/>
        <v>2251.119760712163</v>
      </c>
    </row>
    <row r="123" spans="1:8" ht="12">
      <c r="A123" s="19">
        <f>A118+5</f>
        <v>25</v>
      </c>
      <c r="B123" s="20">
        <f t="shared" si="0"/>
        <v>2363.675748747771</v>
      </c>
      <c r="C123" s="20">
        <f>-PV($D$27,$D$63-A123,$D$62*$D$61,$D$61)</f>
        <v>1000</v>
      </c>
      <c r="D123" s="20">
        <f t="shared" si="1"/>
        <v>1000</v>
      </c>
      <c r="G123" s="49">
        <f t="shared" si="2"/>
        <v>1000</v>
      </c>
      <c r="H123" s="20">
        <f t="shared" si="3"/>
        <v>2363.675748747771</v>
      </c>
    </row>
    <row r="125" ht="12">
      <c r="A125" s="28" t="s">
        <v>124</v>
      </c>
    </row>
    <row r="126" spans="2:3" ht="12">
      <c r="B126" s="2"/>
      <c r="C126" s="2"/>
    </row>
    <row r="127" ht="12">
      <c r="A127" s="5" t="s">
        <v>79</v>
      </c>
    </row>
    <row r="128" ht="12">
      <c r="A128" s="5" t="s">
        <v>80</v>
      </c>
    </row>
    <row r="130" spans="1:2" ht="12">
      <c r="A130" s="2"/>
      <c r="B130" s="2"/>
    </row>
    <row r="131" spans="1:8" ht="12">
      <c r="A131" s="5" t="s">
        <v>81</v>
      </c>
      <c r="H131" s="21">
        <v>0.4</v>
      </c>
    </row>
    <row r="132" spans="1:5" ht="12">
      <c r="A132" s="5" t="s">
        <v>82</v>
      </c>
      <c r="D132" s="51"/>
      <c r="E132" s="5" t="s">
        <v>83</v>
      </c>
    </row>
    <row r="134" ht="12">
      <c r="A134" s="28" t="s">
        <v>125</v>
      </c>
    </row>
    <row r="136" ht="12">
      <c r="A136" s="5" t="s">
        <v>84</v>
      </c>
    </row>
    <row r="137" ht="12">
      <c r="A137" s="5" t="s">
        <v>85</v>
      </c>
    </row>
    <row r="139" spans="2:5" ht="12">
      <c r="B139" s="5" t="s">
        <v>86</v>
      </c>
      <c r="E139" s="33" t="s">
        <v>87</v>
      </c>
    </row>
    <row r="140" spans="2:5" ht="12">
      <c r="B140" s="5" t="s">
        <v>88</v>
      </c>
      <c r="E140" s="5" t="s">
        <v>89</v>
      </c>
    </row>
    <row r="141" spans="1:7" ht="12">
      <c r="A141" s="2"/>
      <c r="C141" s="18" t="s">
        <v>90</v>
      </c>
      <c r="E141" s="2"/>
      <c r="G141" s="18" t="s">
        <v>90</v>
      </c>
    </row>
    <row r="142" spans="2:7" ht="12">
      <c r="B142" s="18" t="s">
        <v>73</v>
      </c>
      <c r="C142" s="18" t="s">
        <v>91</v>
      </c>
      <c r="E142" s="18" t="s">
        <v>73</v>
      </c>
      <c r="G142" s="18" t="s">
        <v>91</v>
      </c>
    </row>
    <row r="143" spans="2:7" ht="12">
      <c r="B143" s="18" t="s">
        <v>78</v>
      </c>
      <c r="C143" s="18" t="s">
        <v>92</v>
      </c>
      <c r="E143" s="5" t="s">
        <v>78</v>
      </c>
      <c r="G143" s="18" t="s">
        <v>92</v>
      </c>
    </row>
    <row r="144" spans="2:7" ht="12">
      <c r="B144" s="19">
        <v>0</v>
      </c>
      <c r="C144" s="49">
        <v>-1000</v>
      </c>
      <c r="E144" s="19">
        <v>0</v>
      </c>
      <c r="G144" s="49">
        <v>-1000</v>
      </c>
    </row>
    <row r="145" spans="2:7" ht="12">
      <c r="B145" s="19">
        <v>1</v>
      </c>
      <c r="C145" s="27"/>
      <c r="E145" s="19">
        <v>1</v>
      </c>
      <c r="G145" s="27"/>
    </row>
    <row r="146" spans="2:7" ht="12">
      <c r="B146" s="19">
        <v>2</v>
      </c>
      <c r="C146" s="52">
        <f>C145</f>
        <v>0</v>
      </c>
      <c r="E146" s="19">
        <v>2</v>
      </c>
      <c r="G146" s="52">
        <f>G145</f>
        <v>0</v>
      </c>
    </row>
    <row r="147" spans="2:7" ht="12">
      <c r="B147" s="19">
        <v>3</v>
      </c>
      <c r="C147" s="52">
        <f aca="true" t="shared" si="6" ref="C147:C153">C146</f>
        <v>0</v>
      </c>
      <c r="E147" s="19">
        <v>3</v>
      </c>
      <c r="G147" s="52">
        <f aca="true" t="shared" si="7" ref="G147:G158">G146</f>
        <v>0</v>
      </c>
    </row>
    <row r="148" spans="2:7" ht="12">
      <c r="B148" s="19">
        <v>4</v>
      </c>
      <c r="C148" s="52">
        <f t="shared" si="6"/>
        <v>0</v>
      </c>
      <c r="E148" s="19">
        <v>4</v>
      </c>
      <c r="G148" s="52">
        <f t="shared" si="7"/>
        <v>0</v>
      </c>
    </row>
    <row r="149" spans="2:8" ht="12">
      <c r="B149" s="19">
        <v>5</v>
      </c>
      <c r="C149" s="52">
        <f t="shared" si="6"/>
        <v>0</v>
      </c>
      <c r="E149" s="19">
        <v>5</v>
      </c>
      <c r="G149" s="52">
        <f t="shared" si="7"/>
        <v>0</v>
      </c>
      <c r="H149" s="19"/>
    </row>
    <row r="150" spans="2:8" ht="12">
      <c r="B150" s="19">
        <v>6</v>
      </c>
      <c r="C150" s="52">
        <f t="shared" si="6"/>
        <v>0</v>
      </c>
      <c r="E150" s="19">
        <v>6</v>
      </c>
      <c r="G150" s="52">
        <f t="shared" si="7"/>
        <v>0</v>
      </c>
      <c r="H150" s="20"/>
    </row>
    <row r="151" spans="2:8" ht="12">
      <c r="B151" s="19">
        <v>7</v>
      </c>
      <c r="C151" s="52">
        <f t="shared" si="6"/>
        <v>0</v>
      </c>
      <c r="E151" s="19">
        <v>7</v>
      </c>
      <c r="G151" s="52">
        <f t="shared" si="7"/>
        <v>0</v>
      </c>
      <c r="H151" s="20"/>
    </row>
    <row r="152" spans="2:8" ht="12">
      <c r="B152" s="19">
        <v>8</v>
      </c>
      <c r="C152" s="52">
        <f t="shared" si="6"/>
        <v>0</v>
      </c>
      <c r="E152" s="19">
        <v>8</v>
      </c>
      <c r="G152" s="52">
        <f t="shared" si="7"/>
        <v>0</v>
      </c>
      <c r="H152" s="20"/>
    </row>
    <row r="153" spans="2:8" ht="12">
      <c r="B153" s="19">
        <v>9</v>
      </c>
      <c r="C153" s="52">
        <f t="shared" si="6"/>
        <v>0</v>
      </c>
      <c r="E153" s="19">
        <v>9</v>
      </c>
      <c r="G153" s="52">
        <f t="shared" si="7"/>
        <v>0</v>
      </c>
      <c r="H153" s="20"/>
    </row>
    <row r="154" spans="2:8" ht="12">
      <c r="B154" s="19">
        <v>10</v>
      </c>
      <c r="C154" s="52">
        <f>$D$54*1000*(1-$D$28)+($D$58*(1+$D$26)^B154*$D$32)</f>
        <v>1475.2105618633177</v>
      </c>
      <c r="E154" s="19">
        <v>10</v>
      </c>
      <c r="G154" s="52">
        <f t="shared" si="7"/>
        <v>0</v>
      </c>
      <c r="H154" s="20"/>
    </row>
    <row r="155" spans="5:8" ht="12">
      <c r="E155" s="19">
        <v>11</v>
      </c>
      <c r="G155" s="52">
        <f t="shared" si="7"/>
        <v>0</v>
      </c>
      <c r="H155" s="20"/>
    </row>
    <row r="156" spans="5:7" ht="12">
      <c r="E156" s="19">
        <v>12</v>
      </c>
      <c r="G156" s="52">
        <f t="shared" si="7"/>
        <v>0</v>
      </c>
    </row>
    <row r="157" spans="5:7" ht="12">
      <c r="E157" s="19">
        <v>13</v>
      </c>
      <c r="G157" s="52">
        <f t="shared" si="7"/>
        <v>0</v>
      </c>
    </row>
    <row r="158" spans="2:8" ht="12">
      <c r="B158" s="20"/>
      <c r="E158" s="19">
        <v>14</v>
      </c>
      <c r="G158" s="52">
        <f t="shared" si="7"/>
        <v>0</v>
      </c>
      <c r="H158" s="20"/>
    </row>
    <row r="159" spans="5:7" ht="12">
      <c r="E159" s="19">
        <v>15</v>
      </c>
      <c r="G159" s="52">
        <f>H113+D62*D61*(1-D28)</f>
        <v>1517.0918692295124</v>
      </c>
    </row>
    <row r="161" spans="1:9" ht="12">
      <c r="A161" s="5" t="s">
        <v>93</v>
      </c>
      <c r="C161" s="25">
        <f>IRR(C144:C154,0.1)</f>
        <v>0.04414678839772281</v>
      </c>
      <c r="D161" s="33" t="s">
        <v>94</v>
      </c>
      <c r="E161" s="34"/>
      <c r="F161" s="34"/>
      <c r="G161" s="29">
        <f>IRR(G144:G159,0.1)</f>
        <v>0.03021867947982822</v>
      </c>
      <c r="H161" s="36" t="s">
        <v>126</v>
      </c>
      <c r="I161" s="35" t="e">
        <f>RATE(D132,D62*D61*(1-D28),-D44,H113)</f>
        <v>#NUM!</v>
      </c>
    </row>
    <row r="162" spans="4:7" ht="12">
      <c r="D162" s="34"/>
      <c r="E162" s="34"/>
      <c r="F162" s="34"/>
      <c r="G162" s="34"/>
    </row>
    <row r="163" ht="12">
      <c r="A163" s="28" t="s">
        <v>128</v>
      </c>
    </row>
    <row r="165" spans="2:6" ht="12">
      <c r="B165" s="33" t="s">
        <v>86</v>
      </c>
      <c r="C165" s="34"/>
      <c r="D165" s="34"/>
      <c r="E165" s="33" t="s">
        <v>87</v>
      </c>
      <c r="F165" s="34"/>
    </row>
    <row r="166" spans="1:5" ht="12">
      <c r="A166" s="2"/>
      <c r="B166" s="5" t="s">
        <v>88</v>
      </c>
      <c r="E166" s="5" t="s">
        <v>89</v>
      </c>
    </row>
    <row r="167" spans="3:7" ht="12">
      <c r="C167" s="18" t="s">
        <v>90</v>
      </c>
      <c r="E167" s="2"/>
      <c r="G167" s="18" t="s">
        <v>90</v>
      </c>
    </row>
    <row r="168" spans="2:7" ht="12">
      <c r="B168" s="18" t="s">
        <v>73</v>
      </c>
      <c r="C168" s="18" t="s">
        <v>91</v>
      </c>
      <c r="E168" s="18" t="s">
        <v>73</v>
      </c>
      <c r="G168" s="18" t="s">
        <v>91</v>
      </c>
    </row>
    <row r="169" spans="2:7" ht="12">
      <c r="B169" s="18" t="s">
        <v>78</v>
      </c>
      <c r="C169" s="18" t="s">
        <v>92</v>
      </c>
      <c r="E169" s="5" t="s">
        <v>78</v>
      </c>
      <c r="G169" s="18" t="s">
        <v>92</v>
      </c>
    </row>
    <row r="170" spans="2:7" ht="12">
      <c r="B170" s="19">
        <v>0</v>
      </c>
      <c r="C170" s="49">
        <v>-1000</v>
      </c>
      <c r="E170" s="19">
        <v>0</v>
      </c>
      <c r="G170" s="49">
        <v>-1000</v>
      </c>
    </row>
    <row r="171" spans="2:7" ht="12">
      <c r="B171" s="19">
        <v>1</v>
      </c>
      <c r="C171" s="27"/>
      <c r="E171" s="19">
        <v>1</v>
      </c>
      <c r="G171" s="27"/>
    </row>
    <row r="172" spans="2:7" ht="12">
      <c r="B172" s="19">
        <v>2</v>
      </c>
      <c r="C172" s="52">
        <f>C171</f>
        <v>0</v>
      </c>
      <c r="E172" s="19">
        <v>2</v>
      </c>
      <c r="G172" s="52">
        <f>G171</f>
        <v>0</v>
      </c>
    </row>
    <row r="173" spans="2:7" ht="12">
      <c r="B173" s="19">
        <v>3</v>
      </c>
      <c r="C173" s="52">
        <f aca="true" t="shared" si="8" ref="C173:C179">C172</f>
        <v>0</v>
      </c>
      <c r="E173" s="19">
        <v>3</v>
      </c>
      <c r="G173" s="52">
        <f aca="true" t="shared" si="9" ref="G173:G184">G172</f>
        <v>0</v>
      </c>
    </row>
    <row r="174" spans="2:7" ht="12">
      <c r="B174" s="19">
        <v>4</v>
      </c>
      <c r="C174" s="52">
        <f t="shared" si="8"/>
        <v>0</v>
      </c>
      <c r="E174" s="19">
        <v>4</v>
      </c>
      <c r="G174" s="52">
        <f t="shared" si="9"/>
        <v>0</v>
      </c>
    </row>
    <row r="175" spans="2:7" ht="12">
      <c r="B175" s="19">
        <v>5</v>
      </c>
      <c r="C175" s="52">
        <f t="shared" si="8"/>
        <v>0</v>
      </c>
      <c r="E175" s="19">
        <v>5</v>
      </c>
      <c r="G175" s="52">
        <f t="shared" si="9"/>
        <v>0</v>
      </c>
    </row>
    <row r="176" spans="2:7" ht="12">
      <c r="B176" s="19">
        <v>6</v>
      </c>
      <c r="C176" s="52">
        <f t="shared" si="8"/>
        <v>0</v>
      </c>
      <c r="E176" s="19">
        <v>6</v>
      </c>
      <c r="G176" s="52">
        <f t="shared" si="9"/>
        <v>0</v>
      </c>
    </row>
    <row r="177" spans="2:7" ht="12">
      <c r="B177" s="19">
        <v>7</v>
      </c>
      <c r="C177" s="52">
        <f t="shared" si="8"/>
        <v>0</v>
      </c>
      <c r="E177" s="19">
        <v>7</v>
      </c>
      <c r="G177" s="52">
        <f t="shared" si="9"/>
        <v>0</v>
      </c>
    </row>
    <row r="178" spans="2:7" ht="12">
      <c r="B178" s="19">
        <v>8</v>
      </c>
      <c r="C178" s="52">
        <f t="shared" si="8"/>
        <v>0</v>
      </c>
      <c r="E178" s="19">
        <v>8</v>
      </c>
      <c r="G178" s="52">
        <f t="shared" si="9"/>
        <v>0</v>
      </c>
    </row>
    <row r="179" spans="2:7" ht="12">
      <c r="B179" s="19">
        <v>9</v>
      </c>
      <c r="C179" s="52">
        <f t="shared" si="8"/>
        <v>0</v>
      </c>
      <c r="E179" s="19">
        <v>9</v>
      </c>
      <c r="G179" s="52">
        <f t="shared" si="9"/>
        <v>0</v>
      </c>
    </row>
    <row r="180" spans="2:7" ht="12">
      <c r="B180" s="19">
        <v>10</v>
      </c>
      <c r="C180" s="52">
        <f>(+$D$54*1000)+((1+$D$26)^B180*$D$32*$D$58)</f>
        <v>1511.2105618633177</v>
      </c>
      <c r="E180" s="19">
        <v>10</v>
      </c>
      <c r="G180" s="52">
        <f t="shared" si="9"/>
        <v>0</v>
      </c>
    </row>
    <row r="181" spans="5:7" ht="12">
      <c r="E181" s="19">
        <v>11</v>
      </c>
      <c r="G181" s="52">
        <f t="shared" si="9"/>
        <v>0</v>
      </c>
    </row>
    <row r="182" spans="5:7" ht="12">
      <c r="E182" s="19">
        <v>12</v>
      </c>
      <c r="G182" s="52">
        <f t="shared" si="9"/>
        <v>0</v>
      </c>
    </row>
    <row r="183" spans="5:7" ht="12">
      <c r="E183" s="19">
        <v>13</v>
      </c>
      <c r="G183" s="52">
        <f t="shared" si="9"/>
        <v>0</v>
      </c>
    </row>
    <row r="184" spans="2:7" ht="12">
      <c r="B184" s="20"/>
      <c r="E184" s="19">
        <v>14</v>
      </c>
      <c r="G184" s="52">
        <f t="shared" si="9"/>
        <v>0</v>
      </c>
    </row>
    <row r="185" spans="5:7" ht="12">
      <c r="E185" s="19">
        <v>15</v>
      </c>
      <c r="G185" s="52">
        <f>$D$62*1000+($D$66*(1+$D$26)^E185*$D$32)</f>
        <v>1561.0918692291345</v>
      </c>
    </row>
    <row r="187" spans="1:7" ht="12">
      <c r="A187" s="5" t="s">
        <v>93</v>
      </c>
      <c r="C187" s="29">
        <f>IRR(C170:C180,0.1)</f>
        <v>0.046947725670384244</v>
      </c>
      <c r="D187" s="5" t="s">
        <v>94</v>
      </c>
      <c r="G187" s="29">
        <f>IRR(G170:G185,0.1)</f>
        <v>0.03232470011954642</v>
      </c>
    </row>
    <row r="189" ht="12">
      <c r="A189" s="1" t="s">
        <v>95</v>
      </c>
    </row>
    <row r="190" ht="12">
      <c r="D190" s="2"/>
    </row>
    <row r="191" ht="12">
      <c r="B191" s="1" t="s">
        <v>96</v>
      </c>
    </row>
    <row r="193" spans="2:7" ht="12">
      <c r="B193" s="18" t="s">
        <v>97</v>
      </c>
      <c r="C193" s="54">
        <f>$G$82/($G$89+$D$25)</f>
        <v>0</v>
      </c>
      <c r="E193" s="5" t="s">
        <v>98</v>
      </c>
      <c r="G193" s="9">
        <f>D71</f>
        <v>0.085</v>
      </c>
    </row>
    <row r="194" spans="2:7" ht="12">
      <c r="B194" s="18" t="s">
        <v>99</v>
      </c>
      <c r="C194" s="54">
        <f>$G$83/($G$89+$D$25)</f>
        <v>0</v>
      </c>
      <c r="E194" s="18" t="s">
        <v>100</v>
      </c>
      <c r="G194" s="9">
        <f>$D$72</f>
        <v>0.105</v>
      </c>
    </row>
    <row r="195" spans="2:7" ht="12">
      <c r="B195" s="18" t="s">
        <v>101</v>
      </c>
      <c r="C195" s="54">
        <f>$G$87/($G$89+$D$25)</f>
        <v>0</v>
      </c>
      <c r="E195" s="5" t="s">
        <v>102</v>
      </c>
      <c r="G195" s="9">
        <f>$D$73</f>
        <v>0.161</v>
      </c>
    </row>
    <row r="196" spans="2:7" ht="12">
      <c r="B196" s="18" t="s">
        <v>103</v>
      </c>
      <c r="C196" s="54">
        <f>$D$25/($G$89+$D$25)</f>
        <v>1</v>
      </c>
      <c r="E196" s="5" t="s">
        <v>104</v>
      </c>
      <c r="G196" s="9">
        <f>C161</f>
        <v>0.04414678839772281</v>
      </c>
    </row>
    <row r="197" ht="12">
      <c r="C197" s="54"/>
    </row>
    <row r="198" spans="2:3" ht="12">
      <c r="B198" s="18" t="s">
        <v>105</v>
      </c>
      <c r="C198" s="54">
        <f>((C193*G193)*(1-D28))+((C194*G194)*(1-D28))+(C195*G195)+(C196*G196)</f>
        <v>0.04414678839772281</v>
      </c>
    </row>
    <row r="200" ht="12">
      <c r="A200" s="28" t="s">
        <v>120</v>
      </c>
    </row>
    <row r="202" spans="2:7" ht="12">
      <c r="B202" s="18" t="s">
        <v>97</v>
      </c>
      <c r="C202" s="54">
        <f>ROUND((+$G$82+6000)/($G$89+$D$25),2)</f>
        <v>0.1</v>
      </c>
      <c r="E202" s="5" t="s">
        <v>98</v>
      </c>
      <c r="G202" s="9">
        <f>D71</f>
        <v>0.085</v>
      </c>
    </row>
    <row r="203" spans="2:7" ht="12">
      <c r="B203" s="18" t="s">
        <v>99</v>
      </c>
      <c r="C203" s="54">
        <f>ROUND((+$G$83+30000)/($G$89+$D$25),2)</f>
        <v>0.5</v>
      </c>
      <c r="E203" s="18" t="s">
        <v>100</v>
      </c>
      <c r="G203" s="9">
        <f>D72</f>
        <v>0.105</v>
      </c>
    </row>
    <row r="204" spans="2:7" ht="12">
      <c r="B204" s="18" t="s">
        <v>106</v>
      </c>
      <c r="C204" s="54">
        <f>ROUND((+$G$87+24000)/($G$89+$D$25),2)</f>
        <v>0.4</v>
      </c>
      <c r="E204" s="5" t="s">
        <v>107</v>
      </c>
      <c r="G204" s="9">
        <f>D74</f>
        <v>0.173</v>
      </c>
    </row>
    <row r="206" spans="2:3" ht="12">
      <c r="B206" s="18" t="s">
        <v>105</v>
      </c>
      <c r="C206" s="29">
        <f>C202*(G202*(1-D28))+C203*(G203*(1-D28))+C204*G204</f>
        <v>0.1058</v>
      </c>
    </row>
    <row r="208" ht="12">
      <c r="B208" s="1" t="s">
        <v>108</v>
      </c>
    </row>
    <row r="210" spans="2:7" ht="12">
      <c r="B210" s="18" t="s">
        <v>97</v>
      </c>
      <c r="C210" s="54">
        <f>$G$82/($G$89+$D$25)</f>
        <v>0</v>
      </c>
      <c r="E210" s="5" t="s">
        <v>98</v>
      </c>
      <c r="G210" s="9">
        <f>D71</f>
        <v>0.085</v>
      </c>
    </row>
    <row r="211" spans="2:7" ht="12">
      <c r="B211" s="18" t="s">
        <v>99</v>
      </c>
      <c r="C211" s="54">
        <f>$G$83/($G$89+$D$25)</f>
        <v>0</v>
      </c>
      <c r="E211" s="18" t="s">
        <v>100</v>
      </c>
      <c r="G211" s="9">
        <f>$D$72</f>
        <v>0.105</v>
      </c>
    </row>
    <row r="212" spans="2:7" ht="12">
      <c r="B212" s="18" t="s">
        <v>101</v>
      </c>
      <c r="C212" s="54">
        <f>$G$87/($G$89+$D$25)</f>
        <v>0</v>
      </c>
      <c r="E212" s="5" t="s">
        <v>102</v>
      </c>
      <c r="G212" s="9">
        <f>$D$73</f>
        <v>0.161</v>
      </c>
    </row>
    <row r="213" spans="2:7" ht="12">
      <c r="B213" s="18" t="s">
        <v>103</v>
      </c>
      <c r="C213" s="54">
        <f>$D$25/($G$89+$D$25)</f>
        <v>1</v>
      </c>
      <c r="E213" s="5" t="s">
        <v>104</v>
      </c>
      <c r="G213" s="9">
        <f>G161</f>
        <v>0.03021867947982822</v>
      </c>
    </row>
    <row r="215" spans="2:3" ht="12">
      <c r="B215" s="18" t="s">
        <v>105</v>
      </c>
      <c r="C215" s="25">
        <f>((C210*G210)*(1-D28))+((C211*G211)*(1-D28))+(C212*G212)+(C213*G213)</f>
        <v>0.03021867947982822</v>
      </c>
    </row>
    <row r="217" ht="12">
      <c r="A217" s="28" t="s">
        <v>127</v>
      </c>
    </row>
    <row r="219" spans="1:7" ht="12">
      <c r="A219" s="5" t="s">
        <v>109</v>
      </c>
      <c r="E219" s="5" t="s">
        <v>12</v>
      </c>
      <c r="G219" s="16">
        <f>((D32*(1+D26)^D49)-D48)*D47</f>
        <v>270.7735143124998</v>
      </c>
    </row>
    <row r="220" ht="12">
      <c r="F220" s="28" t="s">
        <v>128</v>
      </c>
    </row>
    <row r="221" spans="2:7" ht="12">
      <c r="B221" s="5" t="s">
        <v>110</v>
      </c>
      <c r="F221" s="38" t="s">
        <v>111</v>
      </c>
      <c r="G221" s="39"/>
    </row>
    <row r="222" spans="2:7" ht="12">
      <c r="B222" s="5" t="s">
        <v>112</v>
      </c>
      <c r="F222" s="40" t="s">
        <v>113</v>
      </c>
      <c r="G222" s="41"/>
    </row>
    <row r="223" spans="3:7" ht="12">
      <c r="C223" s="18" t="s">
        <v>90</v>
      </c>
      <c r="E223" s="2"/>
      <c r="F223" s="42"/>
      <c r="G223" s="43" t="s">
        <v>90</v>
      </c>
    </row>
    <row r="224" spans="2:7" ht="12">
      <c r="B224" s="18" t="s">
        <v>73</v>
      </c>
      <c r="C224" s="18" t="s">
        <v>91</v>
      </c>
      <c r="E224" s="18" t="s">
        <v>114</v>
      </c>
      <c r="F224" s="42"/>
      <c r="G224" s="43" t="s">
        <v>91</v>
      </c>
    </row>
    <row r="225" spans="2:7" ht="12">
      <c r="B225" s="18" t="s">
        <v>78</v>
      </c>
      <c r="C225" s="18" t="s">
        <v>92</v>
      </c>
      <c r="E225" s="5" t="s">
        <v>115</v>
      </c>
      <c r="F225" s="42"/>
      <c r="G225" s="43" t="s">
        <v>92</v>
      </c>
    </row>
    <row r="226" spans="2:7" ht="12">
      <c r="B226" s="19">
        <v>0</v>
      </c>
      <c r="C226" s="49">
        <f>$D$44</f>
        <v>1000</v>
      </c>
      <c r="F226" s="44">
        <v>0</v>
      </c>
      <c r="G226" s="57">
        <f>-$D$44</f>
        <v>-1000</v>
      </c>
    </row>
    <row r="227" spans="2:7" ht="12">
      <c r="B227" s="19">
        <f aca="true" t="shared" si="10" ref="B227:B251">B226+1</f>
        <v>1</v>
      </c>
      <c r="C227" s="27"/>
      <c r="F227" s="44">
        <f aca="true" t="shared" si="11" ref="F227:F251">F226+1</f>
        <v>1</v>
      </c>
      <c r="G227" s="45"/>
    </row>
    <row r="228" spans="2:7" ht="12">
      <c r="B228" s="19">
        <f t="shared" si="10"/>
        <v>2</v>
      </c>
      <c r="C228" s="52">
        <f>C227</f>
        <v>0</v>
      </c>
      <c r="F228" s="44">
        <f t="shared" si="11"/>
        <v>2</v>
      </c>
      <c r="G228" s="58">
        <f>G227</f>
        <v>0</v>
      </c>
    </row>
    <row r="229" spans="2:7" ht="12">
      <c r="B229" s="19">
        <f t="shared" si="10"/>
        <v>3</v>
      </c>
      <c r="C229" s="52">
        <f>C228</f>
        <v>0</v>
      </c>
      <c r="F229" s="44">
        <f t="shared" si="11"/>
        <v>3</v>
      </c>
      <c r="G229" s="58">
        <f>G228</f>
        <v>0</v>
      </c>
    </row>
    <row r="230" spans="2:7" ht="12">
      <c r="B230" s="19">
        <f t="shared" si="10"/>
        <v>4</v>
      </c>
      <c r="C230" s="52">
        <f>C229</f>
        <v>0</v>
      </c>
      <c r="F230" s="44">
        <f t="shared" si="11"/>
        <v>4</v>
      </c>
      <c r="G230" s="58">
        <f>G229</f>
        <v>0</v>
      </c>
    </row>
    <row r="231" spans="2:7" ht="12">
      <c r="B231" s="19">
        <f t="shared" si="10"/>
        <v>5</v>
      </c>
      <c r="C231" s="52">
        <f>C230</f>
        <v>0</v>
      </c>
      <c r="F231" s="44">
        <f t="shared" si="11"/>
        <v>5</v>
      </c>
      <c r="G231" s="58">
        <f>G230</f>
        <v>0</v>
      </c>
    </row>
    <row r="232" spans="2:7" ht="12">
      <c r="B232" s="19">
        <f t="shared" si="10"/>
        <v>6</v>
      </c>
      <c r="C232" s="37"/>
      <c r="F232" s="44">
        <f t="shared" si="11"/>
        <v>6</v>
      </c>
      <c r="G232" s="45"/>
    </row>
    <row r="233" spans="2:7" ht="12">
      <c r="B233" s="19">
        <f t="shared" si="10"/>
        <v>7</v>
      </c>
      <c r="C233" s="52">
        <f>C227</f>
        <v>0</v>
      </c>
      <c r="F233" s="44">
        <f t="shared" si="11"/>
        <v>7</v>
      </c>
      <c r="G233" s="58">
        <f>G227</f>
        <v>0</v>
      </c>
    </row>
    <row r="234" spans="2:7" ht="12">
      <c r="B234" s="19">
        <f t="shared" si="10"/>
        <v>8</v>
      </c>
      <c r="C234" s="52">
        <f>C233</f>
        <v>0</v>
      </c>
      <c r="F234" s="44">
        <f t="shared" si="11"/>
        <v>8</v>
      </c>
      <c r="G234" s="58">
        <f>G233</f>
        <v>0</v>
      </c>
    </row>
    <row r="235" spans="2:7" ht="12">
      <c r="B235" s="19">
        <f t="shared" si="10"/>
        <v>9</v>
      </c>
      <c r="C235" s="52">
        <f aca="true" t="shared" si="12" ref="C235:C250">C234</f>
        <v>0</v>
      </c>
      <c r="F235" s="44">
        <f t="shared" si="11"/>
        <v>9</v>
      </c>
      <c r="G235" s="58">
        <f aca="true" t="shared" si="13" ref="G235:G250">G234</f>
        <v>0</v>
      </c>
    </row>
    <row r="236" spans="2:7" ht="12">
      <c r="B236" s="19">
        <f t="shared" si="10"/>
        <v>10</v>
      </c>
      <c r="C236" s="52">
        <f t="shared" si="12"/>
        <v>0</v>
      </c>
      <c r="F236" s="44">
        <f t="shared" si="11"/>
        <v>10</v>
      </c>
      <c r="G236" s="58">
        <f t="shared" si="13"/>
        <v>0</v>
      </c>
    </row>
    <row r="237" spans="2:7" ht="12">
      <c r="B237" s="19">
        <f t="shared" si="10"/>
        <v>11</v>
      </c>
      <c r="C237" s="52">
        <f t="shared" si="12"/>
        <v>0</v>
      </c>
      <c r="F237" s="44">
        <f t="shared" si="11"/>
        <v>11</v>
      </c>
      <c r="G237" s="58">
        <f t="shared" si="13"/>
        <v>0</v>
      </c>
    </row>
    <row r="238" spans="2:7" ht="12">
      <c r="B238" s="19">
        <f t="shared" si="10"/>
        <v>12</v>
      </c>
      <c r="C238" s="52">
        <f t="shared" si="12"/>
        <v>0</v>
      </c>
      <c r="F238" s="44">
        <f t="shared" si="11"/>
        <v>12</v>
      </c>
      <c r="G238" s="58">
        <f t="shared" si="13"/>
        <v>0</v>
      </c>
    </row>
    <row r="239" spans="2:7" ht="12">
      <c r="B239" s="19">
        <f t="shared" si="10"/>
        <v>13</v>
      </c>
      <c r="C239" s="52">
        <f t="shared" si="12"/>
        <v>0</v>
      </c>
      <c r="F239" s="44">
        <f t="shared" si="11"/>
        <v>13</v>
      </c>
      <c r="G239" s="58">
        <f t="shared" si="13"/>
        <v>0</v>
      </c>
    </row>
    <row r="240" spans="2:7" ht="12">
      <c r="B240" s="19">
        <f t="shared" si="10"/>
        <v>14</v>
      </c>
      <c r="C240" s="52">
        <f t="shared" si="12"/>
        <v>0</v>
      </c>
      <c r="F240" s="44">
        <f t="shared" si="11"/>
        <v>14</v>
      </c>
      <c r="G240" s="58">
        <f t="shared" si="13"/>
        <v>0</v>
      </c>
    </row>
    <row r="241" spans="2:7" ht="12">
      <c r="B241" s="19">
        <f t="shared" si="10"/>
        <v>15</v>
      </c>
      <c r="C241" s="52">
        <f t="shared" si="12"/>
        <v>0</v>
      </c>
      <c r="F241" s="44">
        <f t="shared" si="11"/>
        <v>15</v>
      </c>
      <c r="G241" s="58">
        <f t="shared" si="13"/>
        <v>0</v>
      </c>
    </row>
    <row r="242" spans="2:7" ht="12">
      <c r="B242" s="19">
        <f t="shared" si="10"/>
        <v>16</v>
      </c>
      <c r="C242" s="52">
        <f t="shared" si="12"/>
        <v>0</v>
      </c>
      <c r="F242" s="44">
        <f t="shared" si="11"/>
        <v>16</v>
      </c>
      <c r="G242" s="58">
        <f t="shared" si="13"/>
        <v>0</v>
      </c>
    </row>
    <row r="243" spans="2:7" ht="12">
      <c r="B243" s="19">
        <f t="shared" si="10"/>
        <v>17</v>
      </c>
      <c r="C243" s="52">
        <f t="shared" si="12"/>
        <v>0</v>
      </c>
      <c r="F243" s="44">
        <f t="shared" si="11"/>
        <v>17</v>
      </c>
      <c r="G243" s="58">
        <f t="shared" si="13"/>
        <v>0</v>
      </c>
    </row>
    <row r="244" spans="2:7" ht="12">
      <c r="B244" s="19">
        <f t="shared" si="10"/>
        <v>18</v>
      </c>
      <c r="C244" s="52">
        <f t="shared" si="12"/>
        <v>0</v>
      </c>
      <c r="F244" s="44">
        <f t="shared" si="11"/>
        <v>18</v>
      </c>
      <c r="G244" s="58">
        <f t="shared" si="13"/>
        <v>0</v>
      </c>
    </row>
    <row r="245" spans="2:7" ht="12">
      <c r="B245" s="19">
        <f t="shared" si="10"/>
        <v>19</v>
      </c>
      <c r="C245" s="52">
        <f t="shared" si="12"/>
        <v>0</v>
      </c>
      <c r="F245" s="44">
        <f t="shared" si="11"/>
        <v>19</v>
      </c>
      <c r="G245" s="58">
        <f t="shared" si="13"/>
        <v>0</v>
      </c>
    </row>
    <row r="246" spans="2:7" ht="12">
      <c r="B246" s="19">
        <f t="shared" si="10"/>
        <v>20</v>
      </c>
      <c r="C246" s="52">
        <f t="shared" si="12"/>
        <v>0</v>
      </c>
      <c r="F246" s="44">
        <f t="shared" si="11"/>
        <v>20</v>
      </c>
      <c r="G246" s="58">
        <f t="shared" si="13"/>
        <v>0</v>
      </c>
    </row>
    <row r="247" spans="2:7" ht="12">
      <c r="B247" s="19">
        <f t="shared" si="10"/>
        <v>21</v>
      </c>
      <c r="C247" s="52">
        <f t="shared" si="12"/>
        <v>0</v>
      </c>
      <c r="F247" s="44">
        <f t="shared" si="11"/>
        <v>21</v>
      </c>
      <c r="G247" s="58">
        <f t="shared" si="13"/>
        <v>0</v>
      </c>
    </row>
    <row r="248" spans="2:7" ht="12">
      <c r="B248" s="19">
        <f t="shared" si="10"/>
        <v>22</v>
      </c>
      <c r="C248" s="52">
        <f t="shared" si="12"/>
        <v>0</v>
      </c>
      <c r="F248" s="44">
        <f t="shared" si="11"/>
        <v>22</v>
      </c>
      <c r="G248" s="58">
        <f t="shared" si="13"/>
        <v>0</v>
      </c>
    </row>
    <row r="249" spans="2:7" ht="12">
      <c r="B249" s="19">
        <f t="shared" si="10"/>
        <v>23</v>
      </c>
      <c r="C249" s="52">
        <f t="shared" si="12"/>
        <v>0</v>
      </c>
      <c r="F249" s="44">
        <f t="shared" si="11"/>
        <v>23</v>
      </c>
      <c r="G249" s="58">
        <f t="shared" si="13"/>
        <v>0</v>
      </c>
    </row>
    <row r="250" spans="2:7" ht="12">
      <c r="B250" s="19">
        <f t="shared" si="10"/>
        <v>24</v>
      </c>
      <c r="C250" s="52">
        <f t="shared" si="12"/>
        <v>0</v>
      </c>
      <c r="F250" s="44">
        <f t="shared" si="11"/>
        <v>24</v>
      </c>
      <c r="G250" s="58">
        <f t="shared" si="13"/>
        <v>0</v>
      </c>
    </row>
    <row r="251" spans="2:7" ht="12">
      <c r="B251" s="19">
        <f t="shared" si="10"/>
        <v>25</v>
      </c>
      <c r="C251" s="52">
        <f>-$D$45*$D$44*(1-$D$28)-$D$44</f>
        <v>-1060</v>
      </c>
      <c r="F251" s="44">
        <f t="shared" si="11"/>
        <v>25</v>
      </c>
      <c r="G251" s="58">
        <f>$D$45*$D$44+$D$44</f>
        <v>1100</v>
      </c>
    </row>
    <row r="252" spans="6:7" ht="12">
      <c r="F252" s="42"/>
      <c r="G252" s="41"/>
    </row>
    <row r="253" spans="1:7" ht="12">
      <c r="A253" s="33" t="s">
        <v>116</v>
      </c>
      <c r="B253" s="34"/>
      <c r="C253" s="29">
        <f>IRR(C226:C251)</f>
        <v>0.0025366426356362225</v>
      </c>
      <c r="D253" s="5" t="s">
        <v>117</v>
      </c>
      <c r="F253" s="42"/>
      <c r="G253" s="48">
        <f>IRR(G226:G251,0.1)</f>
        <v>0.00415251877260207</v>
      </c>
    </row>
    <row r="254" spans="6:7" ht="12">
      <c r="F254" s="46"/>
      <c r="G254" s="47"/>
    </row>
    <row r="255" spans="1:9" ht="12">
      <c r="A255" s="6" t="s">
        <v>12</v>
      </c>
      <c r="B255" s="6" t="s">
        <v>12</v>
      </c>
      <c r="C255" s="6" t="s">
        <v>12</v>
      </c>
      <c r="D255" s="6" t="s">
        <v>12</v>
      </c>
      <c r="E255" s="6" t="s">
        <v>12</v>
      </c>
      <c r="F255" s="6" t="s">
        <v>12</v>
      </c>
      <c r="G255" s="6" t="s">
        <v>12</v>
      </c>
      <c r="H255" s="6" t="s">
        <v>12</v>
      </c>
      <c r="I255" s="6" t="s">
        <v>12</v>
      </c>
    </row>
    <row r="256" spans="1:9" ht="12">
      <c r="A256" s="2"/>
      <c r="B256" s="2"/>
      <c r="C256" s="2"/>
      <c r="D256" s="2"/>
      <c r="E256" s="2"/>
      <c r="F256" s="2"/>
      <c r="G256" s="2"/>
      <c r="H256" s="2"/>
      <c r="I256" s="22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Saunders College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E-S-22</dc:creator>
  <cp:keywords/>
  <dc:description/>
  <cp:lastModifiedBy> Robbani</cp:lastModifiedBy>
  <dcterms:created xsi:type="dcterms:W3CDTF">2000-06-27T18:50:52Z</dcterms:created>
  <dcterms:modified xsi:type="dcterms:W3CDTF">2007-06-25T19:45:49Z</dcterms:modified>
  <cp:category/>
  <cp:version/>
  <cp:contentType/>
  <cp:contentStatus/>
</cp:coreProperties>
</file>