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Income Statement" sheetId="1" r:id="rId1"/>
    <sheet name="Balance Sheet" sheetId="2" r:id="rId2"/>
    <sheet name="Statement of Cash Flow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<sst xmlns="http://schemas.openxmlformats.org/spreadsheetml/2006/main" count="109" uniqueCount="103">
  <si>
    <t>Lester Electronics, Inc.</t>
  </si>
  <si>
    <t>Shang-wa Electronics</t>
  </si>
  <si>
    <t>Consolidated</t>
  </si>
  <si>
    <t>Sales</t>
  </si>
  <si>
    <t>Cost of sales</t>
  </si>
  <si>
    <t>Gross profit</t>
  </si>
  <si>
    <t>Operating expenses:</t>
  </si>
  <si>
    <t>Selling, general and administrative</t>
  </si>
  <si>
    <t>Research and development</t>
  </si>
  <si>
    <t>Depreciation expense</t>
  </si>
  <si>
    <t>Amortization - goodwill</t>
  </si>
  <si>
    <t>Amortization - other intangibles</t>
  </si>
  <si>
    <t>Other operating expense</t>
  </si>
  <si>
    <t>Total operating expenses</t>
  </si>
  <si>
    <t>Operating income</t>
  </si>
  <si>
    <t>Interest expense</t>
  </si>
  <si>
    <t>Interest income</t>
  </si>
  <si>
    <t>Other income (expense)</t>
  </si>
  <si>
    <t>Income before taxes</t>
  </si>
  <si>
    <t>Provision for income taxes</t>
  </si>
  <si>
    <t>Income before extraordinary items</t>
  </si>
  <si>
    <t>Extraordinary items</t>
  </si>
  <si>
    <t>Discontinued operations</t>
  </si>
  <si>
    <t>Minority profits</t>
  </si>
  <si>
    <t>Cumulative effect of accounting changes</t>
  </si>
  <si>
    <t>Net income</t>
  </si>
  <si>
    <t>Preferred dividends</t>
  </si>
  <si>
    <t>Net income available for common dividends</t>
  </si>
  <si>
    <t>Common dividends</t>
  </si>
  <si>
    <t>Common dividends per share</t>
  </si>
  <si>
    <t>Earnings per share - basic</t>
  </si>
  <si>
    <t>Earnings per share - diluted</t>
  </si>
  <si>
    <t>Common shares outstanding - basic</t>
  </si>
  <si>
    <t>Common shares outstanding - diluted</t>
  </si>
  <si>
    <t>Lester Electronics, Inc</t>
  </si>
  <si>
    <t>Assets</t>
  </si>
  <si>
    <t>Current assets:</t>
  </si>
  <si>
    <t>Cash</t>
  </si>
  <si>
    <t>Short-term investments</t>
  </si>
  <si>
    <t>Accounts receivable</t>
  </si>
  <si>
    <t>Inventories</t>
  </si>
  <si>
    <t>Other current assets</t>
  </si>
  <si>
    <t>Total current assets</t>
  </si>
  <si>
    <t>Gross property, plant and equipment</t>
  </si>
  <si>
    <t>Accumulated depreciation</t>
  </si>
  <si>
    <t>Net property, plant and equipment</t>
  </si>
  <si>
    <t>Other investments</t>
  </si>
  <si>
    <t>Goodwill</t>
  </si>
  <si>
    <t>Total assets</t>
  </si>
  <si>
    <t>Current liabilities:</t>
  </si>
  <si>
    <t>Accounts payable</t>
  </si>
  <si>
    <t>Income taxes payable</t>
  </si>
  <si>
    <t>Accrued expenses</t>
  </si>
  <si>
    <t>Other current liabilities</t>
  </si>
  <si>
    <t>Current portion of long-term debt</t>
  </si>
  <si>
    <t>Total current liabilities</t>
  </si>
  <si>
    <t>Long-term liabilities:</t>
  </si>
  <si>
    <t>Long-term debt</t>
  </si>
  <si>
    <t>Other long-term liabilities</t>
  </si>
  <si>
    <t>Total long-term liabilities</t>
  </si>
  <si>
    <t>Shareholders equity:</t>
  </si>
  <si>
    <t>Preferred stock</t>
  </si>
  <si>
    <t>Common stock</t>
  </si>
  <si>
    <t>Capital surplus</t>
  </si>
  <si>
    <t>Retained earnings</t>
  </si>
  <si>
    <t>Treasury stock</t>
  </si>
  <si>
    <t>Total shareholders equity</t>
  </si>
  <si>
    <t>Total liabilities and shareholders equity</t>
  </si>
  <si>
    <t>Inter-Company</t>
  </si>
  <si>
    <t>Intercompany</t>
  </si>
  <si>
    <t>Projections</t>
  </si>
  <si>
    <t>Liabilities and shareholders' equity</t>
  </si>
  <si>
    <t>Total Liabilities</t>
  </si>
  <si>
    <t>EBIT</t>
  </si>
  <si>
    <t>Statements of Cash Flow</t>
  </si>
  <si>
    <t>Balance Sheets</t>
  </si>
  <si>
    <t>Income Statements</t>
  </si>
  <si>
    <t>Cash Flows from Operations</t>
  </si>
  <si>
    <t xml:space="preserve">  Net Income</t>
  </si>
  <si>
    <t xml:space="preserve">  Add: Depreciation</t>
  </si>
  <si>
    <t xml:space="preserve">  Change in A/R</t>
  </si>
  <si>
    <t xml:space="preserve">  Change in Inventory</t>
  </si>
  <si>
    <t xml:space="preserve">  Changes in Other Current Assets</t>
  </si>
  <si>
    <t xml:space="preserve">  Changes in A/P</t>
  </si>
  <si>
    <t xml:space="preserve">  Changes in Other Current Liabilities</t>
  </si>
  <si>
    <t>Cash Flows from Investing</t>
  </si>
  <si>
    <t xml:space="preserve">  Borrowing</t>
  </si>
  <si>
    <t xml:space="preserve">  Repayment of Principal</t>
  </si>
  <si>
    <t xml:space="preserve">  Sales of Stock</t>
  </si>
  <si>
    <t xml:space="preserve">  Dividends</t>
  </si>
  <si>
    <t xml:space="preserve">  Cash flows from Investing Activities</t>
  </si>
  <si>
    <t xml:space="preserve">  Cash flows from Operating Activities</t>
  </si>
  <si>
    <t>Cash Flows from Financing</t>
  </si>
  <si>
    <t xml:space="preserve">  Cash flows from Financing Activities</t>
  </si>
  <si>
    <t xml:space="preserve">  Sale of Property, Plant &amp; Equip</t>
  </si>
  <si>
    <t xml:space="preserve">  Purchase of Property, Plant &amp; Equip</t>
  </si>
  <si>
    <t>Leasehold Improvements</t>
  </si>
  <si>
    <t xml:space="preserve">  Leasehold Improvements</t>
  </si>
  <si>
    <t>Net Cash Flows</t>
  </si>
  <si>
    <t>Beginning Balance Cash &amp; Equivalents</t>
  </si>
  <si>
    <t>Ending Balance Cash &amp; Equivalents</t>
  </si>
  <si>
    <t xml:space="preserve">  Purchase of Market Investments</t>
  </si>
  <si>
    <t xml:space="preserve">  Sale of Market Investments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</si>
</sst>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00%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0" fillId="0" borderId="10" xfId="42" applyFont="1" applyBorder="1" applyAlignment="1">
      <alignment/>
    </xf>
    <xf numFmtId="43" fontId="0" fillId="0" borderId="0" xfId="0" applyNumberFormat="1" applyAlignment="1">
      <alignment/>
    </xf>
    <xf numFmtId="43" fontId="0" fillId="0" borderId="11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13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10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22" xfId="42" applyFont="1" applyBorder="1" applyAlignment="1">
      <alignment/>
    </xf>
    <xf numFmtId="43" fontId="0" fillId="0" borderId="23" xfId="42" applyFont="1" applyBorder="1" applyAlignment="1">
      <alignment/>
    </xf>
    <xf numFmtId="43" fontId="0" fillId="0" borderId="24" xfId="42" applyFont="1" applyBorder="1" applyAlignment="1">
      <alignment/>
    </xf>
    <xf numFmtId="0" fontId="0" fillId="0" borderId="24" xfId="0" applyBorder="1" applyAlignment="1">
      <alignment/>
    </xf>
    <xf numFmtId="43" fontId="0" fillId="0" borderId="15" xfId="0" applyNumberFormat="1" applyBorder="1" applyAlignment="1">
      <alignment/>
    </xf>
    <xf numFmtId="43" fontId="0" fillId="33" borderId="0" xfId="0" applyNumberFormat="1" applyFill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37.28125" style="0" bestFit="1" customWidth="1"/>
    <col min="2" max="4" width="11.28125" style="0" bestFit="1" customWidth="1"/>
    <col min="5" max="6" width="10.28125" style="0" bestFit="1" customWidth="1"/>
    <col min="7" max="7" width="11.28125" style="0" bestFit="1" customWidth="1"/>
    <col min="8" max="10" width="10.8515625" style="0" bestFit="1" customWidth="1"/>
    <col min="11" max="13" width="12.28125" style="0" bestFit="1" customWidth="1"/>
    <col min="14" max="17" width="11.28125" style="0" bestFit="1" customWidth="1"/>
    <col min="18" max="18" width="12.8515625" style="0" bestFit="1" customWidth="1"/>
  </cols>
  <sheetData>
    <row r="1" spans="1:18" ht="12.75">
      <c r="A1" s="3" t="s">
        <v>76</v>
      </c>
      <c r="B1" s="33" t="s">
        <v>0</v>
      </c>
      <c r="C1" s="34"/>
      <c r="D1" s="35"/>
      <c r="E1" s="33" t="s">
        <v>1</v>
      </c>
      <c r="F1" s="34"/>
      <c r="G1" s="35"/>
      <c r="H1" s="33" t="s">
        <v>69</v>
      </c>
      <c r="I1" s="34"/>
      <c r="J1" s="35"/>
      <c r="K1" s="33" t="s">
        <v>2</v>
      </c>
      <c r="L1" s="34"/>
      <c r="M1" s="34"/>
      <c r="N1" s="33" t="s">
        <v>70</v>
      </c>
      <c r="O1" s="34"/>
      <c r="P1" s="34"/>
      <c r="Q1" s="34"/>
      <c r="R1" s="35"/>
    </row>
    <row r="2" spans="2:18" ht="12.75">
      <c r="B2" s="13">
        <v>37621</v>
      </c>
      <c r="C2" s="14">
        <v>37986</v>
      </c>
      <c r="D2" s="15">
        <v>38352</v>
      </c>
      <c r="E2" s="13">
        <v>37621</v>
      </c>
      <c r="F2" s="14">
        <v>37986</v>
      </c>
      <c r="G2" s="15">
        <v>38352</v>
      </c>
      <c r="H2" s="13">
        <v>37621</v>
      </c>
      <c r="I2" s="14">
        <v>37986</v>
      </c>
      <c r="J2" s="15">
        <v>38352</v>
      </c>
      <c r="K2" s="13">
        <v>37621</v>
      </c>
      <c r="L2" s="14">
        <v>37986</v>
      </c>
      <c r="M2" s="14">
        <v>38352</v>
      </c>
      <c r="N2" s="13">
        <v>37621</v>
      </c>
      <c r="O2" s="14">
        <v>37986</v>
      </c>
      <c r="P2" s="14">
        <v>38352</v>
      </c>
      <c r="Q2" s="14">
        <v>38717</v>
      </c>
      <c r="R2" s="15">
        <v>39082</v>
      </c>
    </row>
    <row r="3" spans="2:18" ht="12.75">
      <c r="B3" s="16"/>
      <c r="C3" s="17"/>
      <c r="D3" s="18"/>
      <c r="E3" s="16"/>
      <c r="F3" s="17"/>
      <c r="G3" s="18"/>
      <c r="H3" s="16"/>
      <c r="I3" s="17"/>
      <c r="J3" s="18"/>
      <c r="K3" s="13"/>
      <c r="L3" s="14"/>
      <c r="M3" s="14"/>
      <c r="N3" s="13"/>
      <c r="O3" s="14"/>
      <c r="P3" s="14"/>
      <c r="Q3" s="17"/>
      <c r="R3" s="18"/>
    </row>
    <row r="4" spans="1:18" ht="12.75">
      <c r="A4" t="s">
        <v>3</v>
      </c>
      <c r="B4" s="19">
        <v>234006</v>
      </c>
      <c r="C4" s="8">
        <v>236016</v>
      </c>
      <c r="D4" s="20">
        <v>406306</v>
      </c>
      <c r="E4" s="19">
        <v>65089</v>
      </c>
      <c r="F4" s="8">
        <v>80191</v>
      </c>
      <c r="G4" s="20">
        <v>109288</v>
      </c>
      <c r="H4" s="19">
        <v>20177.59</v>
      </c>
      <c r="I4" s="8">
        <v>24859.21</v>
      </c>
      <c r="J4" s="20">
        <v>33879.28</v>
      </c>
      <c r="K4" s="19">
        <f aca="true" t="shared" si="0" ref="K4:M5">B4+E4-H4</f>
        <v>278917.41</v>
      </c>
      <c r="L4" s="8">
        <f t="shared" si="0"/>
        <v>291347.79</v>
      </c>
      <c r="M4" s="8">
        <f t="shared" si="0"/>
        <v>481714.72</v>
      </c>
      <c r="N4" s="19">
        <f>1.12*M4</f>
        <v>539520.4864</v>
      </c>
      <c r="O4" s="8">
        <f>1.12*N4</f>
        <v>604262.9447680002</v>
      </c>
      <c r="P4" s="8">
        <f>1.12*O4</f>
        <v>676774.4981401602</v>
      </c>
      <c r="Q4" s="8">
        <f>1.12*P4</f>
        <v>757987.4379169795</v>
      </c>
      <c r="R4" s="20">
        <f>1.12*Q4</f>
        <v>848945.9304670171</v>
      </c>
    </row>
    <row r="5" spans="1:18" ht="12.75">
      <c r="A5" t="s">
        <v>4</v>
      </c>
      <c r="B5" s="21">
        <v>203974</v>
      </c>
      <c r="C5" s="5">
        <v>197956</v>
      </c>
      <c r="D5" s="22">
        <v>340016</v>
      </c>
      <c r="E5" s="21">
        <v>45258.75</v>
      </c>
      <c r="F5" s="5">
        <v>51445.75</v>
      </c>
      <c r="G5" s="22">
        <v>66381.2</v>
      </c>
      <c r="H5" s="21">
        <f>H4</f>
        <v>20177.59</v>
      </c>
      <c r="I5" s="5">
        <f>I4</f>
        <v>24859.21</v>
      </c>
      <c r="J5" s="22">
        <f>J4</f>
        <v>33879.28</v>
      </c>
      <c r="K5" s="21">
        <f t="shared" si="0"/>
        <v>229055.16</v>
      </c>
      <c r="L5" s="5">
        <f t="shared" si="0"/>
        <v>224542.54</v>
      </c>
      <c r="M5" s="5">
        <f t="shared" si="0"/>
        <v>372517.92000000004</v>
      </c>
      <c r="N5" s="21">
        <f>1.13*M5</f>
        <v>420945.2496</v>
      </c>
      <c r="O5" s="5">
        <f>1.13*N5</f>
        <v>475668.13204799994</v>
      </c>
      <c r="P5" s="5">
        <f>1.13*O5</f>
        <v>537504.9892142399</v>
      </c>
      <c r="Q5" s="5">
        <f>1.13*P5</f>
        <v>607380.637812091</v>
      </c>
      <c r="R5" s="22">
        <f>1.13*Q5</f>
        <v>686340.1207276628</v>
      </c>
    </row>
    <row r="6" spans="1:18" ht="12.75">
      <c r="A6" t="s">
        <v>5</v>
      </c>
      <c r="B6" s="19">
        <f aca="true" t="shared" si="1" ref="B6:M6">B4-B5</f>
        <v>30032</v>
      </c>
      <c r="C6" s="8">
        <f t="shared" si="1"/>
        <v>38060</v>
      </c>
      <c r="D6" s="20">
        <f t="shared" si="1"/>
        <v>66290</v>
      </c>
      <c r="E6" s="19">
        <f t="shared" si="1"/>
        <v>19830.25</v>
      </c>
      <c r="F6" s="8">
        <f t="shared" si="1"/>
        <v>28745.25</v>
      </c>
      <c r="G6" s="20">
        <f t="shared" si="1"/>
        <v>42906.8</v>
      </c>
      <c r="H6" s="19">
        <f t="shared" si="1"/>
        <v>0</v>
      </c>
      <c r="I6" s="8">
        <f t="shared" si="1"/>
        <v>0</v>
      </c>
      <c r="J6" s="20">
        <f t="shared" si="1"/>
        <v>0</v>
      </c>
      <c r="K6" s="19">
        <f t="shared" si="1"/>
        <v>49862.24999999997</v>
      </c>
      <c r="L6" s="8">
        <f t="shared" si="1"/>
        <v>66805.24999999997</v>
      </c>
      <c r="M6" s="8">
        <f t="shared" si="1"/>
        <v>109196.79999999993</v>
      </c>
      <c r="N6" s="19">
        <f>N4-N5</f>
        <v>118575.23680000007</v>
      </c>
      <c r="O6" s="8">
        <f>O4-O5</f>
        <v>128594.81272000022</v>
      </c>
      <c r="P6" s="8">
        <f>P4-P5</f>
        <v>139269.50892592035</v>
      </c>
      <c r="Q6" s="8">
        <f>Q4-Q5</f>
        <v>150606.8001048885</v>
      </c>
      <c r="R6" s="20">
        <f>R4-R5</f>
        <v>162605.8097393543</v>
      </c>
    </row>
    <row r="7" spans="2:18" ht="12.75">
      <c r="B7" s="19"/>
      <c r="C7" s="8"/>
      <c r="D7" s="20"/>
      <c r="E7" s="19"/>
      <c r="F7" s="8"/>
      <c r="G7" s="20"/>
      <c r="H7" s="19"/>
      <c r="I7" s="8"/>
      <c r="J7" s="20"/>
      <c r="K7" s="19"/>
      <c r="L7" s="8"/>
      <c r="M7" s="8"/>
      <c r="N7" s="19"/>
      <c r="O7" s="8"/>
      <c r="P7" s="8"/>
      <c r="Q7" s="8"/>
      <c r="R7" s="20"/>
    </row>
    <row r="8" spans="1:18" ht="12.75">
      <c r="A8" t="s">
        <v>6</v>
      </c>
      <c r="B8" s="19"/>
      <c r="C8" s="8"/>
      <c r="D8" s="20"/>
      <c r="E8" s="19"/>
      <c r="F8" s="8"/>
      <c r="G8" s="20"/>
      <c r="H8" s="19"/>
      <c r="I8" s="8"/>
      <c r="J8" s="20"/>
      <c r="K8" s="19"/>
      <c r="L8" s="8"/>
      <c r="M8" s="8"/>
      <c r="N8" s="19"/>
      <c r="O8" s="8"/>
      <c r="P8" s="8"/>
      <c r="Q8" s="8"/>
      <c r="R8" s="20"/>
    </row>
    <row r="9" spans="1:18" ht="12.75">
      <c r="A9" t="s">
        <v>7</v>
      </c>
      <c r="B9" s="19">
        <v>12407</v>
      </c>
      <c r="C9" s="8">
        <v>7354</v>
      </c>
      <c r="D9" s="20">
        <v>12602</v>
      </c>
      <c r="E9" s="19">
        <v>8527</v>
      </c>
      <c r="F9" s="8">
        <v>12235</v>
      </c>
      <c r="G9" s="20">
        <v>17465</v>
      </c>
      <c r="H9" s="19"/>
      <c r="I9" s="8"/>
      <c r="J9" s="20"/>
      <c r="K9" s="19">
        <f aca="true" t="shared" si="2" ref="K9:K22">B9+E9-H9</f>
        <v>20934</v>
      </c>
      <c r="L9" s="8">
        <f aca="true" t="shared" si="3" ref="L9:L22">C9+F9-I9</f>
        <v>19589</v>
      </c>
      <c r="M9" s="8">
        <f aca="true" t="shared" si="4" ref="M9:M22">D9+G9-J9</f>
        <v>30067</v>
      </c>
      <c r="N9" s="19">
        <f>M9*1.05</f>
        <v>31570.350000000002</v>
      </c>
      <c r="O9" s="8">
        <f>N9*1.05</f>
        <v>33148.8675</v>
      </c>
      <c r="P9" s="8">
        <f>O9*1.05</f>
        <v>34806.310875</v>
      </c>
      <c r="Q9" s="8">
        <f>P9*1.05</f>
        <v>36546.626418750006</v>
      </c>
      <c r="R9" s="20">
        <f>Q9*1.05</f>
        <v>38373.95773968751</v>
      </c>
    </row>
    <row r="10" spans="1:18" ht="12.75">
      <c r="A10" t="s">
        <v>8</v>
      </c>
      <c r="B10" s="19">
        <v>2954</v>
      </c>
      <c r="C10" s="8">
        <v>2686</v>
      </c>
      <c r="D10" s="20">
        <v>4037</v>
      </c>
      <c r="E10" s="19">
        <v>0</v>
      </c>
      <c r="F10" s="8">
        <v>0</v>
      </c>
      <c r="G10" s="20">
        <v>0</v>
      </c>
      <c r="H10" s="19"/>
      <c r="I10" s="8"/>
      <c r="J10" s="20"/>
      <c r="K10" s="19">
        <f t="shared" si="2"/>
        <v>2954</v>
      </c>
      <c r="L10" s="8">
        <f t="shared" si="3"/>
        <v>2686</v>
      </c>
      <c r="M10" s="8">
        <f t="shared" si="4"/>
        <v>4037</v>
      </c>
      <c r="N10" s="19">
        <v>4500</v>
      </c>
      <c r="O10" s="8">
        <f>N10*1.03</f>
        <v>4635</v>
      </c>
      <c r="P10" s="8">
        <f>O10*1.03</f>
        <v>4774.05</v>
      </c>
      <c r="Q10" s="8">
        <f>P10*1.03</f>
        <v>4917.271500000001</v>
      </c>
      <c r="R10" s="20">
        <f>Q10*1.03</f>
        <v>5064.789645000001</v>
      </c>
    </row>
    <row r="11" spans="1:18" ht="12.75">
      <c r="A11" t="s">
        <v>9</v>
      </c>
      <c r="B11" s="19">
        <v>9567</v>
      </c>
      <c r="C11" s="8">
        <v>10629</v>
      </c>
      <c r="D11" s="20">
        <v>12264</v>
      </c>
      <c r="E11" s="19">
        <v>4334</v>
      </c>
      <c r="F11" s="8">
        <v>3459</v>
      </c>
      <c r="G11" s="20">
        <v>2736</v>
      </c>
      <c r="H11" s="19"/>
      <c r="I11" s="8"/>
      <c r="J11" s="20"/>
      <c r="K11" s="19">
        <f t="shared" si="2"/>
        <v>13901</v>
      </c>
      <c r="L11" s="8">
        <f t="shared" si="3"/>
        <v>14088</v>
      </c>
      <c r="M11" s="8">
        <f t="shared" si="4"/>
        <v>15000</v>
      </c>
      <c r="N11" s="19">
        <f>(1+(M11-L11)/L11)*M11</f>
        <v>15971.039182282795</v>
      </c>
      <c r="O11" s="8">
        <f>(1+(N11-M11)/M11)*N11</f>
        <v>17004.939504134152</v>
      </c>
      <c r="P11" s="8">
        <f>(1+(O11-N11)/N11)*O11</f>
        <v>18105.77034085834</v>
      </c>
      <c r="Q11" s="8">
        <f>(1+(P11-O11)/O11)*P11</f>
        <v>19277.864502617485</v>
      </c>
      <c r="R11" s="20">
        <f>(1+(Q11-P11)/P11)*Q11</f>
        <v>20525.835288136164</v>
      </c>
    </row>
    <row r="12" spans="1:18" ht="12.75">
      <c r="A12" t="s">
        <v>10</v>
      </c>
      <c r="B12" s="19">
        <v>0</v>
      </c>
      <c r="C12" s="8">
        <v>0</v>
      </c>
      <c r="D12" s="20">
        <v>0</v>
      </c>
      <c r="E12" s="19">
        <v>0</v>
      </c>
      <c r="F12" s="8">
        <v>0</v>
      </c>
      <c r="G12" s="20">
        <v>0</v>
      </c>
      <c r="H12" s="19"/>
      <c r="I12" s="8"/>
      <c r="J12" s="20"/>
      <c r="K12" s="19">
        <f t="shared" si="2"/>
        <v>0</v>
      </c>
      <c r="L12" s="8">
        <f t="shared" si="3"/>
        <v>0</v>
      </c>
      <c r="M12" s="8">
        <f t="shared" si="4"/>
        <v>0</v>
      </c>
      <c r="N12" s="19">
        <f aca="true" t="shared" si="5" ref="N12:R14">1.17*M12</f>
        <v>0</v>
      </c>
      <c r="O12" s="8">
        <f t="shared" si="5"/>
        <v>0</v>
      </c>
      <c r="P12" s="8">
        <f t="shared" si="5"/>
        <v>0</v>
      </c>
      <c r="Q12" s="8">
        <f t="shared" si="5"/>
        <v>0</v>
      </c>
      <c r="R12" s="20">
        <f t="shared" si="5"/>
        <v>0</v>
      </c>
    </row>
    <row r="13" spans="1:18" ht="12.75">
      <c r="A13" t="s">
        <v>11</v>
      </c>
      <c r="B13" s="19">
        <v>0</v>
      </c>
      <c r="C13" s="8">
        <v>0</v>
      </c>
      <c r="D13" s="20">
        <v>0</v>
      </c>
      <c r="E13" s="19">
        <v>0</v>
      </c>
      <c r="F13" s="8">
        <v>0</v>
      </c>
      <c r="G13" s="20">
        <v>0</v>
      </c>
      <c r="H13" s="19"/>
      <c r="I13" s="8"/>
      <c r="J13" s="20"/>
      <c r="K13" s="19">
        <f t="shared" si="2"/>
        <v>0</v>
      </c>
      <c r="L13" s="8">
        <f t="shared" si="3"/>
        <v>0</v>
      </c>
      <c r="M13" s="8">
        <f t="shared" si="4"/>
        <v>0</v>
      </c>
      <c r="N13" s="19">
        <f t="shared" si="5"/>
        <v>0</v>
      </c>
      <c r="O13" s="8">
        <f t="shared" si="5"/>
        <v>0</v>
      </c>
      <c r="P13" s="8">
        <f t="shared" si="5"/>
        <v>0</v>
      </c>
      <c r="Q13" s="8">
        <f t="shared" si="5"/>
        <v>0</v>
      </c>
      <c r="R13" s="20">
        <f t="shared" si="5"/>
        <v>0</v>
      </c>
    </row>
    <row r="14" spans="1:18" ht="12.75">
      <c r="A14" t="s">
        <v>12</v>
      </c>
      <c r="B14" s="21">
        <v>0</v>
      </c>
      <c r="C14" s="5">
        <v>339</v>
      </c>
      <c r="D14" s="22">
        <v>0</v>
      </c>
      <c r="E14" s="21">
        <v>0</v>
      </c>
      <c r="F14" s="5">
        <v>0</v>
      </c>
      <c r="G14" s="22">
        <v>0</v>
      </c>
      <c r="H14" s="21"/>
      <c r="I14" s="5"/>
      <c r="J14" s="22"/>
      <c r="K14" s="21">
        <f t="shared" si="2"/>
        <v>0</v>
      </c>
      <c r="L14" s="5">
        <f t="shared" si="3"/>
        <v>339</v>
      </c>
      <c r="M14" s="5">
        <f t="shared" si="4"/>
        <v>0</v>
      </c>
      <c r="N14" s="21">
        <f t="shared" si="5"/>
        <v>0</v>
      </c>
      <c r="O14" s="5">
        <f t="shared" si="5"/>
        <v>0</v>
      </c>
      <c r="P14" s="5">
        <f t="shared" si="5"/>
        <v>0</v>
      </c>
      <c r="Q14" s="5">
        <f t="shared" si="5"/>
        <v>0</v>
      </c>
      <c r="R14" s="22">
        <f t="shared" si="5"/>
        <v>0</v>
      </c>
    </row>
    <row r="15" spans="1:18" ht="12.75">
      <c r="A15" t="s">
        <v>13</v>
      </c>
      <c r="B15" s="23">
        <f>SUM(B9:B14)</f>
        <v>24928</v>
      </c>
      <c r="C15" s="7">
        <f aca="true" t="shared" si="6" ref="C15:M15">SUM(C9:C14)</f>
        <v>21008</v>
      </c>
      <c r="D15" s="24">
        <f t="shared" si="6"/>
        <v>28903</v>
      </c>
      <c r="E15" s="23">
        <f t="shared" si="6"/>
        <v>12861</v>
      </c>
      <c r="F15" s="7">
        <f t="shared" si="6"/>
        <v>15694</v>
      </c>
      <c r="G15" s="24">
        <f t="shared" si="6"/>
        <v>20201</v>
      </c>
      <c r="H15" s="23">
        <f t="shared" si="6"/>
        <v>0</v>
      </c>
      <c r="I15" s="7">
        <f t="shared" si="6"/>
        <v>0</v>
      </c>
      <c r="J15" s="24">
        <f t="shared" si="6"/>
        <v>0</v>
      </c>
      <c r="K15" s="23">
        <f t="shared" si="6"/>
        <v>37789</v>
      </c>
      <c r="L15" s="7">
        <f t="shared" si="6"/>
        <v>36702</v>
      </c>
      <c r="M15" s="7">
        <f t="shared" si="6"/>
        <v>49104</v>
      </c>
      <c r="N15" s="21">
        <f>SUM(N9:N14)</f>
        <v>52041.3891822828</v>
      </c>
      <c r="O15" s="5">
        <f>SUM(O9:O14)</f>
        <v>54788.807004134156</v>
      </c>
      <c r="P15" s="5">
        <f>SUM(P9:P14)</f>
        <v>57686.131215858346</v>
      </c>
      <c r="Q15" s="5">
        <f>SUM(Q9:Q14)</f>
        <v>60741.76242136749</v>
      </c>
      <c r="R15" s="22">
        <f>SUM(R9:R14)</f>
        <v>63964.58267282367</v>
      </c>
    </row>
    <row r="16" spans="1:18" ht="12.75">
      <c r="A16" t="s">
        <v>14</v>
      </c>
      <c r="B16" s="19">
        <f>B6-B15</f>
        <v>5104</v>
      </c>
      <c r="C16" s="8">
        <f>C6-C15</f>
        <v>17052</v>
      </c>
      <c r="D16" s="20">
        <v>37387</v>
      </c>
      <c r="E16" s="19">
        <v>6969.25</v>
      </c>
      <c r="F16" s="8">
        <v>13051.25</v>
      </c>
      <c r="G16" s="20">
        <v>22705.8</v>
      </c>
      <c r="H16" s="19">
        <f>H6-H15</f>
        <v>0</v>
      </c>
      <c r="I16" s="8">
        <f>I6-I15</f>
        <v>0</v>
      </c>
      <c r="J16" s="20">
        <f>J6-J15</f>
        <v>0</v>
      </c>
      <c r="K16" s="19">
        <f t="shared" si="2"/>
        <v>12073.25</v>
      </c>
      <c r="L16" s="8">
        <f t="shared" si="3"/>
        <v>30103.25</v>
      </c>
      <c r="M16" s="8">
        <f t="shared" si="4"/>
        <v>60092.8</v>
      </c>
      <c r="N16" s="19">
        <f>N6-N15</f>
        <v>66533.84761771727</v>
      </c>
      <c r="O16" s="8">
        <f>O6-O15</f>
        <v>73806.00571586606</v>
      </c>
      <c r="P16" s="8">
        <f>P6-P15</f>
        <v>81583.377710062</v>
      </c>
      <c r="Q16" s="8">
        <f>Q6-Q15</f>
        <v>89865.03768352102</v>
      </c>
      <c r="R16" s="20">
        <f>R6-R15</f>
        <v>98641.22706653063</v>
      </c>
    </row>
    <row r="17" spans="2:18" ht="12.75">
      <c r="B17" s="19"/>
      <c r="C17" s="8"/>
      <c r="D17" s="20"/>
      <c r="E17" s="19"/>
      <c r="F17" s="8"/>
      <c r="G17" s="20"/>
      <c r="H17" s="19"/>
      <c r="I17" s="8"/>
      <c r="J17" s="20"/>
      <c r="K17" s="19"/>
      <c r="L17" s="8"/>
      <c r="M17" s="8"/>
      <c r="N17" s="19"/>
      <c r="O17" s="8"/>
      <c r="P17" s="8"/>
      <c r="Q17" s="8"/>
      <c r="R17" s="18"/>
    </row>
    <row r="18" spans="1:18" ht="12.75">
      <c r="A18" t="s">
        <v>17</v>
      </c>
      <c r="B18" s="21">
        <v>4576</v>
      </c>
      <c r="C18" s="5">
        <v>4698</v>
      </c>
      <c r="D18" s="22">
        <v>5525</v>
      </c>
      <c r="E18" s="21">
        <v>-330</v>
      </c>
      <c r="F18" s="5">
        <v>173</v>
      </c>
      <c r="G18" s="22">
        <v>216</v>
      </c>
      <c r="H18" s="21"/>
      <c r="I18" s="5"/>
      <c r="J18" s="22"/>
      <c r="K18" s="21">
        <f>B18+E18-H18</f>
        <v>4246</v>
      </c>
      <c r="L18" s="5">
        <f>C18+F18-I18</f>
        <v>4871</v>
      </c>
      <c r="M18" s="5">
        <f>D18+G18-J18</f>
        <v>5741</v>
      </c>
      <c r="N18" s="19">
        <f>M18</f>
        <v>5741</v>
      </c>
      <c r="O18" s="8">
        <f>N18</f>
        <v>5741</v>
      </c>
      <c r="P18" s="8">
        <f>O18</f>
        <v>5741</v>
      </c>
      <c r="Q18" s="8">
        <f>P18</f>
        <v>5741</v>
      </c>
      <c r="R18" s="31">
        <f>Q18</f>
        <v>5741</v>
      </c>
    </row>
    <row r="19" spans="1:18" ht="13.5" thickBot="1">
      <c r="A19" t="s">
        <v>73</v>
      </c>
      <c r="B19" s="19">
        <f>B16+B18</f>
        <v>9680</v>
      </c>
      <c r="C19" s="8">
        <f aca="true" t="shared" si="7" ref="C19:M19">C16+C18</f>
        <v>21750</v>
      </c>
      <c r="D19" s="20">
        <f t="shared" si="7"/>
        <v>42912</v>
      </c>
      <c r="E19" s="19">
        <f t="shared" si="7"/>
        <v>6639.25</v>
      </c>
      <c r="F19" s="8">
        <f t="shared" si="7"/>
        <v>13224.25</v>
      </c>
      <c r="G19" s="20">
        <f t="shared" si="7"/>
        <v>22921.8</v>
      </c>
      <c r="H19" s="19">
        <f t="shared" si="7"/>
        <v>0</v>
      </c>
      <c r="I19" s="8">
        <f t="shared" si="7"/>
        <v>0</v>
      </c>
      <c r="J19" s="20">
        <f t="shared" si="7"/>
        <v>0</v>
      </c>
      <c r="K19" s="19">
        <f t="shared" si="7"/>
        <v>16319.25</v>
      </c>
      <c r="L19" s="8">
        <f t="shared" si="7"/>
        <v>34974.25</v>
      </c>
      <c r="M19" s="8">
        <f t="shared" si="7"/>
        <v>65833.8</v>
      </c>
      <c r="N19" s="25">
        <f>N16+N18</f>
        <v>72274.84761771727</v>
      </c>
      <c r="O19" s="9">
        <f>O16+O18</f>
        <v>79547.00571586606</v>
      </c>
      <c r="P19" s="9">
        <f>P16+P18</f>
        <v>87324.377710062</v>
      </c>
      <c r="Q19" s="9">
        <f>Q16+Q18</f>
        <v>95606.03768352102</v>
      </c>
      <c r="R19" s="26">
        <f>R16+R18</f>
        <v>104382.22706653063</v>
      </c>
    </row>
    <row r="20" spans="2:18" ht="13.5" thickTop="1">
      <c r="B20" s="19"/>
      <c r="C20" s="8"/>
      <c r="D20" s="20"/>
      <c r="E20" s="19"/>
      <c r="F20" s="8"/>
      <c r="G20" s="20"/>
      <c r="H20" s="19"/>
      <c r="I20" s="8"/>
      <c r="J20" s="20"/>
      <c r="K20" s="19"/>
      <c r="L20" s="8"/>
      <c r="M20" s="8"/>
      <c r="N20" s="19"/>
      <c r="O20" s="8"/>
      <c r="P20" s="8"/>
      <c r="Q20" s="8"/>
      <c r="R20" s="18"/>
    </row>
    <row r="21" spans="1:18" ht="12.75">
      <c r="A21" t="s">
        <v>15</v>
      </c>
      <c r="B21" s="19">
        <v>178</v>
      </c>
      <c r="C21" s="8">
        <v>790</v>
      </c>
      <c r="D21" s="20">
        <v>121</v>
      </c>
      <c r="E21" s="19">
        <v>4612</v>
      </c>
      <c r="F21" s="8">
        <v>4842.6</v>
      </c>
      <c r="G21" s="20">
        <v>10027</v>
      </c>
      <c r="H21" s="19"/>
      <c r="I21" s="8"/>
      <c r="J21" s="20"/>
      <c r="K21" s="19">
        <f t="shared" si="2"/>
        <v>4790</v>
      </c>
      <c r="L21" s="8">
        <f t="shared" si="3"/>
        <v>5632.6</v>
      </c>
      <c r="M21" s="8">
        <f t="shared" si="4"/>
        <v>10148</v>
      </c>
      <c r="N21" s="19"/>
      <c r="O21" s="8"/>
      <c r="P21" s="8"/>
      <c r="Q21" s="8"/>
      <c r="R21" s="18"/>
    </row>
    <row r="22" spans="1:18" ht="12.75">
      <c r="A22" t="s">
        <v>16</v>
      </c>
      <c r="B22" s="21">
        <v>0</v>
      </c>
      <c r="C22" s="5">
        <v>0</v>
      </c>
      <c r="D22" s="22">
        <v>0</v>
      </c>
      <c r="E22" s="21">
        <v>0</v>
      </c>
      <c r="F22" s="5">
        <v>0</v>
      </c>
      <c r="G22" s="22">
        <v>0</v>
      </c>
      <c r="H22" s="21"/>
      <c r="I22" s="5"/>
      <c r="J22" s="22"/>
      <c r="K22" s="21">
        <f t="shared" si="2"/>
        <v>0</v>
      </c>
      <c r="L22" s="5">
        <f t="shared" si="3"/>
        <v>0</v>
      </c>
      <c r="M22" s="5">
        <f t="shared" si="4"/>
        <v>0</v>
      </c>
      <c r="N22" s="19"/>
      <c r="O22" s="8"/>
      <c r="P22" s="8"/>
      <c r="Q22" s="8"/>
      <c r="R22" s="18"/>
    </row>
    <row r="23" spans="1:18" ht="12.75">
      <c r="A23" t="s">
        <v>18</v>
      </c>
      <c r="B23" s="19">
        <f>B19-B21+B22</f>
        <v>9502</v>
      </c>
      <c r="C23" s="8">
        <f aca="true" t="shared" si="8" ref="C23:M23">C19-C21+C22</f>
        <v>20960</v>
      </c>
      <c r="D23" s="20">
        <f t="shared" si="8"/>
        <v>42791</v>
      </c>
      <c r="E23" s="19">
        <f t="shared" si="8"/>
        <v>2027.25</v>
      </c>
      <c r="F23" s="8">
        <f t="shared" si="8"/>
        <v>8381.65</v>
      </c>
      <c r="G23" s="20">
        <f t="shared" si="8"/>
        <v>12894.8</v>
      </c>
      <c r="H23" s="19">
        <f t="shared" si="8"/>
        <v>0</v>
      </c>
      <c r="I23" s="8">
        <f t="shared" si="8"/>
        <v>0</v>
      </c>
      <c r="J23" s="20">
        <f t="shared" si="8"/>
        <v>0</v>
      </c>
      <c r="K23" s="19">
        <f t="shared" si="8"/>
        <v>11529.25</v>
      </c>
      <c r="L23" s="8">
        <f t="shared" si="8"/>
        <v>29341.65</v>
      </c>
      <c r="M23" s="8">
        <f t="shared" si="8"/>
        <v>55685.8</v>
      </c>
      <c r="N23" s="19"/>
      <c r="O23" s="8"/>
      <c r="P23" s="8"/>
      <c r="Q23" s="8"/>
      <c r="R23" s="18"/>
    </row>
    <row r="24" spans="2:18" ht="12.75">
      <c r="B24" s="19"/>
      <c r="C24" s="8"/>
      <c r="D24" s="20"/>
      <c r="E24" s="19"/>
      <c r="F24" s="8"/>
      <c r="G24" s="20"/>
      <c r="H24" s="19"/>
      <c r="I24" s="8"/>
      <c r="J24" s="20"/>
      <c r="K24" s="19"/>
      <c r="L24" s="8"/>
      <c r="M24" s="8"/>
      <c r="N24" s="19"/>
      <c r="O24" s="8"/>
      <c r="P24" s="8"/>
      <c r="Q24" s="8"/>
      <c r="R24" s="18"/>
    </row>
    <row r="25" spans="1:18" ht="12.75">
      <c r="A25" t="s">
        <v>19</v>
      </c>
      <c r="B25" s="21">
        <v>2565</v>
      </c>
      <c r="C25" s="5">
        <v>6078</v>
      </c>
      <c r="D25" s="22">
        <v>13693</v>
      </c>
      <c r="E25" s="21">
        <v>317</v>
      </c>
      <c r="F25" s="5">
        <v>1517</v>
      </c>
      <c r="G25" s="22">
        <v>1973</v>
      </c>
      <c r="H25" s="21"/>
      <c r="I25" s="5"/>
      <c r="J25" s="22"/>
      <c r="K25" s="21">
        <f>B25+E25-H25</f>
        <v>2882</v>
      </c>
      <c r="L25" s="5">
        <f>C25+F25-I25</f>
        <v>7595</v>
      </c>
      <c r="M25" s="5">
        <f>D25+G25-J25</f>
        <v>15666</v>
      </c>
      <c r="N25" s="19"/>
      <c r="O25" s="8"/>
      <c r="P25" s="8"/>
      <c r="Q25" s="8"/>
      <c r="R25" s="18"/>
    </row>
    <row r="26" spans="1:18" ht="12.75">
      <c r="A26" t="s">
        <v>20</v>
      </c>
      <c r="B26" s="19">
        <f>B23-B25</f>
        <v>6937</v>
      </c>
      <c r="C26" s="8">
        <f aca="true" t="shared" si="9" ref="C26:M26">C23-C25</f>
        <v>14882</v>
      </c>
      <c r="D26" s="20">
        <f t="shared" si="9"/>
        <v>29098</v>
      </c>
      <c r="E26" s="19">
        <f t="shared" si="9"/>
        <v>1710.25</v>
      </c>
      <c r="F26" s="8">
        <f t="shared" si="9"/>
        <v>6864.65</v>
      </c>
      <c r="G26" s="20">
        <f t="shared" si="9"/>
        <v>10921.8</v>
      </c>
      <c r="H26" s="19">
        <f t="shared" si="9"/>
        <v>0</v>
      </c>
      <c r="I26" s="8">
        <f t="shared" si="9"/>
        <v>0</v>
      </c>
      <c r="J26" s="20">
        <f t="shared" si="9"/>
        <v>0</v>
      </c>
      <c r="K26" s="19">
        <f t="shared" si="9"/>
        <v>8647.25</v>
      </c>
      <c r="L26" s="8">
        <f t="shared" si="9"/>
        <v>21746.65</v>
      </c>
      <c r="M26" s="8">
        <f t="shared" si="9"/>
        <v>40019.8</v>
      </c>
      <c r="N26" s="19"/>
      <c r="O26" s="8"/>
      <c r="P26" s="8"/>
      <c r="Q26" s="8"/>
      <c r="R26" s="18"/>
    </row>
    <row r="27" spans="2:18" ht="12.75">
      <c r="B27" s="19"/>
      <c r="C27" s="8"/>
      <c r="D27" s="20"/>
      <c r="E27" s="19"/>
      <c r="F27" s="8"/>
      <c r="G27" s="20"/>
      <c r="H27" s="19"/>
      <c r="I27" s="8"/>
      <c r="J27" s="20"/>
      <c r="K27" s="19"/>
      <c r="L27" s="8"/>
      <c r="M27" s="8"/>
      <c r="N27" s="19"/>
      <c r="O27" s="8"/>
      <c r="P27" s="8"/>
      <c r="Q27" s="8"/>
      <c r="R27" s="18"/>
    </row>
    <row r="28" spans="1:18" ht="12.75">
      <c r="A28" t="s">
        <v>21</v>
      </c>
      <c r="B28" s="19">
        <v>0</v>
      </c>
      <c r="C28" s="8">
        <v>0</v>
      </c>
      <c r="D28" s="20">
        <v>0</v>
      </c>
      <c r="E28" s="19">
        <v>0</v>
      </c>
      <c r="F28" s="8">
        <v>0</v>
      </c>
      <c r="G28" s="20">
        <v>0</v>
      </c>
      <c r="H28" s="19"/>
      <c r="I28" s="8"/>
      <c r="J28" s="20"/>
      <c r="K28" s="19">
        <f aca="true" t="shared" si="10" ref="K28:M31">B28+E28-H28</f>
        <v>0</v>
      </c>
      <c r="L28" s="8">
        <f t="shared" si="10"/>
        <v>0</v>
      </c>
      <c r="M28" s="8">
        <f t="shared" si="10"/>
        <v>0</v>
      </c>
      <c r="N28" s="19"/>
      <c r="O28" s="8"/>
      <c r="P28" s="8"/>
      <c r="Q28" s="8"/>
      <c r="R28" s="18"/>
    </row>
    <row r="29" spans="1:18" ht="12.75">
      <c r="A29" t="s">
        <v>22</v>
      </c>
      <c r="B29" s="19">
        <v>0</v>
      </c>
      <c r="C29" s="8">
        <v>0</v>
      </c>
      <c r="D29" s="20">
        <v>1979</v>
      </c>
      <c r="E29" s="19">
        <v>0</v>
      </c>
      <c r="F29" s="8">
        <v>0</v>
      </c>
      <c r="G29" s="20">
        <v>0</v>
      </c>
      <c r="H29" s="19"/>
      <c r="I29" s="8"/>
      <c r="J29" s="20"/>
      <c r="K29" s="19">
        <f t="shared" si="10"/>
        <v>0</v>
      </c>
      <c r="L29" s="8">
        <f t="shared" si="10"/>
        <v>0</v>
      </c>
      <c r="M29" s="8">
        <f t="shared" si="10"/>
        <v>1979</v>
      </c>
      <c r="N29" s="19"/>
      <c r="O29" s="8"/>
      <c r="P29" s="8"/>
      <c r="Q29" s="8"/>
      <c r="R29" s="18"/>
    </row>
    <row r="30" spans="1:18" ht="12.75">
      <c r="A30" t="s">
        <v>23</v>
      </c>
      <c r="B30" s="19">
        <v>-230</v>
      </c>
      <c r="C30" s="8">
        <v>-164</v>
      </c>
      <c r="D30" s="20">
        <v>-1067</v>
      </c>
      <c r="E30" s="19">
        <v>0</v>
      </c>
      <c r="F30" s="8">
        <v>0</v>
      </c>
      <c r="G30" s="20">
        <v>0</v>
      </c>
      <c r="H30" s="19"/>
      <c r="I30" s="8"/>
      <c r="J30" s="20"/>
      <c r="K30" s="19">
        <f t="shared" si="10"/>
        <v>-230</v>
      </c>
      <c r="L30" s="8">
        <f t="shared" si="10"/>
        <v>-164</v>
      </c>
      <c r="M30" s="8">
        <f t="shared" si="10"/>
        <v>-1067</v>
      </c>
      <c r="N30" s="19"/>
      <c r="O30" s="8"/>
      <c r="P30" s="8"/>
      <c r="Q30" s="8"/>
      <c r="R30" s="18"/>
    </row>
    <row r="31" spans="1:18" ht="12.75">
      <c r="A31" t="s">
        <v>24</v>
      </c>
      <c r="B31" s="21">
        <v>0</v>
      </c>
      <c r="C31" s="5">
        <v>0</v>
      </c>
      <c r="D31" s="22">
        <v>0</v>
      </c>
      <c r="E31" s="21">
        <v>0</v>
      </c>
      <c r="F31" s="5">
        <v>0</v>
      </c>
      <c r="G31" s="22">
        <v>0</v>
      </c>
      <c r="H31" s="21"/>
      <c r="I31" s="5"/>
      <c r="J31" s="22"/>
      <c r="K31" s="21">
        <f t="shared" si="10"/>
        <v>0</v>
      </c>
      <c r="L31" s="5">
        <f t="shared" si="10"/>
        <v>0</v>
      </c>
      <c r="M31" s="5">
        <f t="shared" si="10"/>
        <v>0</v>
      </c>
      <c r="N31" s="19"/>
      <c r="O31" s="8"/>
      <c r="P31" s="8"/>
      <c r="Q31" s="8"/>
      <c r="R31" s="18"/>
    </row>
    <row r="32" spans="1:18" ht="13.5" thickBot="1">
      <c r="A32" t="s">
        <v>25</v>
      </c>
      <c r="B32" s="25">
        <f>SUM(B26:B31)</f>
        <v>6707</v>
      </c>
      <c r="C32" s="9">
        <f aca="true" t="shared" si="11" ref="C32:M32">SUM(C26:C31)</f>
        <v>14718</v>
      </c>
      <c r="D32" s="26">
        <f t="shared" si="11"/>
        <v>30010</v>
      </c>
      <c r="E32" s="25">
        <f t="shared" si="11"/>
        <v>1710.25</v>
      </c>
      <c r="F32" s="9">
        <f t="shared" si="11"/>
        <v>6864.65</v>
      </c>
      <c r="G32" s="26">
        <f t="shared" si="11"/>
        <v>10921.8</v>
      </c>
      <c r="H32" s="25">
        <f t="shared" si="11"/>
        <v>0</v>
      </c>
      <c r="I32" s="9">
        <f t="shared" si="11"/>
        <v>0</v>
      </c>
      <c r="J32" s="26">
        <f t="shared" si="11"/>
        <v>0</v>
      </c>
      <c r="K32" s="25">
        <f t="shared" si="11"/>
        <v>8417.25</v>
      </c>
      <c r="L32" s="9">
        <f t="shared" si="11"/>
        <v>21582.65</v>
      </c>
      <c r="M32" s="9">
        <f t="shared" si="11"/>
        <v>40931.8</v>
      </c>
      <c r="N32" s="19"/>
      <c r="O32" s="8"/>
      <c r="P32" s="8"/>
      <c r="Q32" s="8"/>
      <c r="R32" s="18"/>
    </row>
    <row r="33" spans="2:18" ht="13.5" thickTop="1">
      <c r="B33" s="19"/>
      <c r="C33" s="8"/>
      <c r="D33" s="20"/>
      <c r="E33" s="19"/>
      <c r="F33" s="8"/>
      <c r="G33" s="20"/>
      <c r="H33" s="19"/>
      <c r="I33" s="8"/>
      <c r="J33" s="20"/>
      <c r="K33" s="19"/>
      <c r="L33" s="8"/>
      <c r="M33" s="8"/>
      <c r="N33" s="19"/>
      <c r="O33" s="8"/>
      <c r="P33" s="8"/>
      <c r="Q33" s="8"/>
      <c r="R33" s="18"/>
    </row>
    <row r="34" spans="1:18" ht="12.75">
      <c r="A34" t="s">
        <v>26</v>
      </c>
      <c r="B34" s="19">
        <v>0</v>
      </c>
      <c r="C34" s="8">
        <v>0</v>
      </c>
      <c r="D34" s="20">
        <v>0</v>
      </c>
      <c r="E34" s="19">
        <v>0</v>
      </c>
      <c r="F34" s="8">
        <v>0</v>
      </c>
      <c r="G34" s="20">
        <v>0</v>
      </c>
      <c r="H34" s="19"/>
      <c r="I34" s="8"/>
      <c r="J34" s="20"/>
      <c r="K34" s="19"/>
      <c r="L34" s="8"/>
      <c r="M34" s="8"/>
      <c r="N34" s="19"/>
      <c r="O34" s="8"/>
      <c r="P34" s="8"/>
      <c r="Q34" s="8"/>
      <c r="R34" s="18"/>
    </row>
    <row r="35" spans="1:18" ht="12.75">
      <c r="A35" t="s">
        <v>27</v>
      </c>
      <c r="B35" s="19">
        <f aca="true" t="shared" si="12" ref="B35:G35">B32-B34</f>
        <v>6707</v>
      </c>
      <c r="C35" s="8">
        <f t="shared" si="12"/>
        <v>14718</v>
      </c>
      <c r="D35" s="20">
        <f t="shared" si="12"/>
        <v>30010</v>
      </c>
      <c r="E35" s="19">
        <f t="shared" si="12"/>
        <v>1710.25</v>
      </c>
      <c r="F35" s="8">
        <f t="shared" si="12"/>
        <v>6864.65</v>
      </c>
      <c r="G35" s="20">
        <f t="shared" si="12"/>
        <v>10921.8</v>
      </c>
      <c r="H35" s="19"/>
      <c r="I35" s="8"/>
      <c r="J35" s="20"/>
      <c r="K35" s="19"/>
      <c r="L35" s="8"/>
      <c r="M35" s="8"/>
      <c r="N35" s="19"/>
      <c r="O35" s="8"/>
      <c r="P35" s="8"/>
      <c r="Q35" s="8"/>
      <c r="R35" s="18"/>
    </row>
    <row r="36" spans="1:18" ht="12.75">
      <c r="A36" t="s">
        <v>28</v>
      </c>
      <c r="B36" s="19">
        <v>5027</v>
      </c>
      <c r="C36" s="8">
        <v>10259.5</v>
      </c>
      <c r="D36" s="20">
        <v>20938</v>
      </c>
      <c r="E36" s="19">
        <v>0</v>
      </c>
      <c r="F36" s="8">
        <v>0</v>
      </c>
      <c r="G36" s="20">
        <v>0</v>
      </c>
      <c r="H36" s="19"/>
      <c r="I36" s="8"/>
      <c r="J36" s="20"/>
      <c r="K36" s="19"/>
      <c r="L36" s="8"/>
      <c r="M36" s="8"/>
      <c r="N36" s="19"/>
      <c r="O36" s="8"/>
      <c r="P36" s="8"/>
      <c r="Q36" s="8"/>
      <c r="R36" s="18"/>
    </row>
    <row r="37" spans="1:18" ht="12.75">
      <c r="A37" t="s">
        <v>29</v>
      </c>
      <c r="B37" s="19">
        <f aca="true" t="shared" si="13" ref="B37:G37">B36/B40</f>
        <v>0.11830462204650287</v>
      </c>
      <c r="C37" s="8">
        <f t="shared" si="13"/>
        <v>0.24144544855502212</v>
      </c>
      <c r="D37" s="20">
        <f t="shared" si="13"/>
        <v>0.4927515767673915</v>
      </c>
      <c r="E37" s="19">
        <f t="shared" si="13"/>
        <v>0</v>
      </c>
      <c r="F37" s="8">
        <f t="shared" si="13"/>
        <v>0</v>
      </c>
      <c r="G37" s="20">
        <f t="shared" si="13"/>
        <v>0</v>
      </c>
      <c r="H37" s="19"/>
      <c r="I37" s="8"/>
      <c r="J37" s="20"/>
      <c r="K37" s="19"/>
      <c r="L37" s="8"/>
      <c r="M37" s="8"/>
      <c r="N37" s="19"/>
      <c r="O37" s="8"/>
      <c r="P37" s="8"/>
      <c r="Q37" s="8"/>
      <c r="R37" s="18"/>
    </row>
    <row r="38" spans="1:18" ht="12.75">
      <c r="A38" t="s">
        <v>30</v>
      </c>
      <c r="B38" s="19">
        <f aca="true" t="shared" si="14" ref="B38:G39">B$32/B40</f>
        <v>0.1578414760425492</v>
      </c>
      <c r="C38" s="8">
        <f t="shared" si="14"/>
        <v>0.3463710816153629</v>
      </c>
      <c r="D38" s="20">
        <f t="shared" si="14"/>
        <v>0.7062505883460416</v>
      </c>
      <c r="E38" s="19">
        <f t="shared" si="14"/>
        <v>0.06894501330323309</v>
      </c>
      <c r="F38" s="8">
        <f t="shared" si="14"/>
        <v>0.27673345158429413</v>
      </c>
      <c r="G38" s="20">
        <f t="shared" si="14"/>
        <v>0.4402886398451987</v>
      </c>
      <c r="H38" s="19"/>
      <c r="I38" s="8"/>
      <c r="J38" s="20"/>
      <c r="K38" s="19"/>
      <c r="L38" s="8"/>
      <c r="M38" s="8"/>
      <c r="N38" s="19"/>
      <c r="O38" s="8"/>
      <c r="P38" s="8"/>
      <c r="Q38" s="8"/>
      <c r="R38" s="18"/>
    </row>
    <row r="39" spans="1:18" ht="12.75">
      <c r="A39" t="s">
        <v>31</v>
      </c>
      <c r="B39" s="19">
        <f t="shared" si="14"/>
        <v>0.1578414760425492</v>
      </c>
      <c r="C39" s="8">
        <f t="shared" si="14"/>
        <v>0.3463710816153629</v>
      </c>
      <c r="D39" s="20">
        <f t="shared" si="14"/>
        <v>0.7062505883460416</v>
      </c>
      <c r="E39" s="19">
        <f t="shared" si="14"/>
        <v>0.06894501330323309</v>
      </c>
      <c r="F39" s="8">
        <f t="shared" si="14"/>
        <v>0.27673345158429413</v>
      </c>
      <c r="G39" s="20">
        <f t="shared" si="14"/>
        <v>0.4402886398451987</v>
      </c>
      <c r="H39" s="19"/>
      <c r="I39" s="8"/>
      <c r="J39" s="20"/>
      <c r="K39" s="19"/>
      <c r="L39" s="8"/>
      <c r="M39" s="8"/>
      <c r="N39" s="19"/>
      <c r="O39" s="8"/>
      <c r="P39" s="8"/>
      <c r="Q39" s="8"/>
      <c r="R39" s="18"/>
    </row>
    <row r="40" spans="1:18" ht="12.75">
      <c r="A40" t="s">
        <v>32</v>
      </c>
      <c r="B40" s="19">
        <v>42492</v>
      </c>
      <c r="C40" s="8">
        <v>42492</v>
      </c>
      <c r="D40" s="20">
        <v>42492</v>
      </c>
      <c r="E40" s="19">
        <v>24806</v>
      </c>
      <c r="F40" s="8">
        <v>24806</v>
      </c>
      <c r="G40" s="20">
        <v>24806</v>
      </c>
      <c r="H40" s="19"/>
      <c r="I40" s="8"/>
      <c r="J40" s="20"/>
      <c r="K40" s="19"/>
      <c r="L40" s="8"/>
      <c r="M40" s="8"/>
      <c r="N40" s="19"/>
      <c r="O40" s="8"/>
      <c r="P40" s="8"/>
      <c r="Q40" s="8"/>
      <c r="R40" s="18"/>
    </row>
    <row r="41" spans="1:18" ht="13.5" thickBot="1">
      <c r="A41" t="s">
        <v>33</v>
      </c>
      <c r="B41" s="27">
        <v>42492</v>
      </c>
      <c r="C41" s="28">
        <v>42492</v>
      </c>
      <c r="D41" s="29">
        <v>42492</v>
      </c>
      <c r="E41" s="27">
        <v>24806</v>
      </c>
      <c r="F41" s="28">
        <v>24806</v>
      </c>
      <c r="G41" s="29">
        <v>24806</v>
      </c>
      <c r="H41" s="27"/>
      <c r="I41" s="28"/>
      <c r="J41" s="29"/>
      <c r="K41" s="27"/>
      <c r="L41" s="28"/>
      <c r="M41" s="28"/>
      <c r="N41" s="27"/>
      <c r="O41" s="28"/>
      <c r="P41" s="28"/>
      <c r="Q41" s="28"/>
      <c r="R41" s="30"/>
    </row>
    <row r="42" spans="2:17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ht="12.75">
      <c r="B43" s="2"/>
      <c r="C43" s="11"/>
      <c r="D43" s="11"/>
      <c r="E43" s="11"/>
      <c r="F43" s="11"/>
      <c r="G43" s="11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ht="12.75">
      <c r="B44" s="2"/>
      <c r="C44" s="2"/>
      <c r="D44" s="11"/>
      <c r="E44" s="2"/>
      <c r="F44" s="2"/>
      <c r="G44" s="11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12.75">
      <c r="B45" s="2"/>
      <c r="C45" s="2"/>
      <c r="D45" s="11"/>
      <c r="E45" s="2"/>
      <c r="F45" s="2"/>
      <c r="G45" s="11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</sheetData>
  <sheetProtection/>
  <mergeCells count="5">
    <mergeCell ref="N1:R1"/>
    <mergeCell ref="B1:D1"/>
    <mergeCell ref="E1:G1"/>
    <mergeCell ref="H1:J1"/>
    <mergeCell ref="K1:M1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34.140625" style="0" bestFit="1" customWidth="1"/>
    <col min="2" max="5" width="11.28125" style="0" bestFit="1" customWidth="1"/>
    <col min="6" max="6" width="11.28125" style="0" customWidth="1"/>
    <col min="7" max="7" width="10.8515625" style="0" bestFit="1" customWidth="1"/>
    <col min="8" max="9" width="11.28125" style="0" bestFit="1" customWidth="1"/>
    <col min="10" max="11" width="11.28125" style="0" customWidth="1"/>
    <col min="12" max="12" width="11.8515625" style="0" bestFit="1" customWidth="1"/>
    <col min="13" max="15" width="12.28125" style="0" bestFit="1" customWidth="1"/>
    <col min="16" max="17" width="10.28125" style="0" bestFit="1" customWidth="1"/>
  </cols>
  <sheetData>
    <row r="1" spans="1:15" ht="12.75">
      <c r="A1" s="3" t="s">
        <v>75</v>
      </c>
      <c r="C1" s="36" t="s">
        <v>34</v>
      </c>
      <c r="D1" s="36"/>
      <c r="E1" s="36"/>
      <c r="F1" s="4"/>
      <c r="G1" s="36" t="s">
        <v>1</v>
      </c>
      <c r="H1" s="36"/>
      <c r="I1" s="36"/>
      <c r="J1" s="36" t="s">
        <v>68</v>
      </c>
      <c r="K1" s="36"/>
      <c r="L1" s="36"/>
      <c r="M1" s="36" t="s">
        <v>2</v>
      </c>
      <c r="N1" s="36"/>
      <c r="O1" s="36"/>
    </row>
    <row r="2" spans="2:15" ht="12.75">
      <c r="B2" s="1">
        <v>37256</v>
      </c>
      <c r="C2" s="1">
        <v>37621</v>
      </c>
      <c r="D2" s="1">
        <v>37986</v>
      </c>
      <c r="E2" s="1">
        <v>38352</v>
      </c>
      <c r="F2" s="1">
        <v>37256</v>
      </c>
      <c r="G2" s="1">
        <v>37621</v>
      </c>
      <c r="H2" s="1">
        <v>37986</v>
      </c>
      <c r="I2" s="1">
        <v>38352</v>
      </c>
      <c r="J2" s="1">
        <v>37621</v>
      </c>
      <c r="K2" s="1">
        <v>37986</v>
      </c>
      <c r="L2" s="1">
        <v>38352</v>
      </c>
      <c r="M2" s="1">
        <v>37621</v>
      </c>
      <c r="N2" s="1">
        <v>37986</v>
      </c>
      <c r="O2" s="1">
        <v>38352</v>
      </c>
    </row>
    <row r="3" spans="2:15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t="s">
        <v>35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t="s">
        <v>36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t="s">
        <v>37</v>
      </c>
      <c r="B6" s="2">
        <v>56311</v>
      </c>
      <c r="C6" s="2">
        <v>43676</v>
      </c>
      <c r="D6" s="2">
        <v>52477</v>
      </c>
      <c r="E6" s="2">
        <f>61827-27093.5</f>
        <v>34733.5</v>
      </c>
      <c r="F6" s="2">
        <v>3125</v>
      </c>
      <c r="G6" s="2">
        <v>1948</v>
      </c>
      <c r="H6" s="2">
        <v>5619</v>
      </c>
      <c r="I6" s="2">
        <v>4095</v>
      </c>
      <c r="J6" s="2"/>
      <c r="K6" s="2"/>
      <c r="L6" s="2"/>
      <c r="M6" s="2">
        <f aca="true" t="shared" si="0" ref="M6:O10">C6+G6+J6</f>
        <v>45624</v>
      </c>
      <c r="N6" s="2">
        <f t="shared" si="0"/>
        <v>58096</v>
      </c>
      <c r="O6" s="2">
        <f t="shared" si="0"/>
        <v>38828.5</v>
      </c>
    </row>
    <row r="7" spans="1:15" ht="12.75">
      <c r="A7" t="s">
        <v>38</v>
      </c>
      <c r="B7" s="2">
        <v>0</v>
      </c>
      <c r="C7" s="2">
        <v>9505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/>
      <c r="K7" s="2"/>
      <c r="L7" s="2"/>
      <c r="M7" s="2">
        <f t="shared" si="0"/>
        <v>9505</v>
      </c>
      <c r="N7" s="2">
        <f t="shared" si="0"/>
        <v>0</v>
      </c>
      <c r="O7" s="2">
        <f t="shared" si="0"/>
        <v>0</v>
      </c>
    </row>
    <row r="8" spans="1:17" ht="12.75">
      <c r="A8" t="s">
        <v>39</v>
      </c>
      <c r="B8" s="2">
        <v>38943</v>
      </c>
      <c r="C8" s="2">
        <v>43321</v>
      </c>
      <c r="D8" s="2">
        <v>51799</v>
      </c>
      <c r="E8" s="2">
        <v>64719</v>
      </c>
      <c r="F8" s="2">
        <v>13103</v>
      </c>
      <c r="G8" s="2">
        <v>13492</v>
      </c>
      <c r="H8" s="2">
        <v>12344</v>
      </c>
      <c r="I8" s="2">
        <v>19216</v>
      </c>
      <c r="J8" s="2">
        <f>-'Income Statement'!H5</f>
        <v>-20177.59</v>
      </c>
      <c r="K8" s="2">
        <f>-'Income Statement'!I5</f>
        <v>-24859.21</v>
      </c>
      <c r="L8" s="2">
        <f>-'Income Statement'!J5</f>
        <v>-33879.28</v>
      </c>
      <c r="M8" s="2">
        <f t="shared" si="0"/>
        <v>36635.41</v>
      </c>
      <c r="N8" s="2">
        <f t="shared" si="0"/>
        <v>39283.79</v>
      </c>
      <c r="O8" s="2">
        <f t="shared" si="0"/>
        <v>50055.72</v>
      </c>
      <c r="P8" s="6"/>
      <c r="Q8" s="6"/>
    </row>
    <row r="9" spans="1:15" ht="12.75">
      <c r="A9" t="s">
        <v>40</v>
      </c>
      <c r="B9" s="2">
        <f>27194-21308</f>
        <v>5886</v>
      </c>
      <c r="C9" s="2">
        <v>11892</v>
      </c>
      <c r="D9" s="2">
        <v>19200</v>
      </c>
      <c r="E9" s="2">
        <v>27032</v>
      </c>
      <c r="F9" s="2">
        <v>15956</v>
      </c>
      <c r="G9" s="2">
        <v>16457</v>
      </c>
      <c r="H9" s="2">
        <v>19606</v>
      </c>
      <c r="I9" s="2">
        <v>22994</v>
      </c>
      <c r="J9" s="2"/>
      <c r="K9" s="2"/>
      <c r="L9" s="2"/>
      <c r="M9" s="2">
        <f t="shared" si="0"/>
        <v>28349</v>
      </c>
      <c r="N9" s="2">
        <f t="shared" si="0"/>
        <v>38806</v>
      </c>
      <c r="O9" s="2">
        <f t="shared" si="0"/>
        <v>50026</v>
      </c>
    </row>
    <row r="10" spans="1:15" ht="12.75">
      <c r="A10" t="s">
        <v>41</v>
      </c>
      <c r="B10" s="5">
        <v>0</v>
      </c>
      <c r="C10" s="5">
        <v>2377</v>
      </c>
      <c r="D10" s="5">
        <v>1867</v>
      </c>
      <c r="E10" s="5">
        <v>1126</v>
      </c>
      <c r="F10" s="5">
        <v>557</v>
      </c>
      <c r="G10" s="5">
        <v>569</v>
      </c>
      <c r="H10" s="5">
        <v>463</v>
      </c>
      <c r="I10" s="5">
        <v>666</v>
      </c>
      <c r="J10" s="5"/>
      <c r="K10" s="5"/>
      <c r="L10" s="5"/>
      <c r="M10" s="5">
        <f t="shared" si="0"/>
        <v>2946</v>
      </c>
      <c r="N10" s="5">
        <f t="shared" si="0"/>
        <v>2330</v>
      </c>
      <c r="O10" s="5">
        <f t="shared" si="0"/>
        <v>1792</v>
      </c>
    </row>
    <row r="11" spans="1:15" ht="12.75">
      <c r="A11" t="s">
        <v>42</v>
      </c>
      <c r="B11" s="2">
        <f>SUM(B6:B10)</f>
        <v>101140</v>
      </c>
      <c r="C11" s="2">
        <f>SUM(C6:C10)</f>
        <v>110771</v>
      </c>
      <c r="D11" s="2">
        <f aca="true" t="shared" si="1" ref="D11:O11">SUM(D6:D10)</f>
        <v>125343</v>
      </c>
      <c r="E11" s="2">
        <f t="shared" si="1"/>
        <v>127610.5</v>
      </c>
      <c r="F11" s="2">
        <f t="shared" si="1"/>
        <v>32741</v>
      </c>
      <c r="G11" s="2">
        <f t="shared" si="1"/>
        <v>32466</v>
      </c>
      <c r="H11" s="2">
        <f t="shared" si="1"/>
        <v>38032</v>
      </c>
      <c r="I11" s="2">
        <f t="shared" si="1"/>
        <v>46971</v>
      </c>
      <c r="J11" s="2">
        <f t="shared" si="1"/>
        <v>-20177.59</v>
      </c>
      <c r="K11" s="2">
        <f t="shared" si="1"/>
        <v>-24859.21</v>
      </c>
      <c r="L11" s="2">
        <f t="shared" si="1"/>
        <v>-33879.28</v>
      </c>
      <c r="M11" s="2">
        <f t="shared" si="1"/>
        <v>123059.41</v>
      </c>
      <c r="N11" s="2">
        <f t="shared" si="1"/>
        <v>138515.79</v>
      </c>
      <c r="O11" s="2">
        <f t="shared" si="1"/>
        <v>140702.22</v>
      </c>
    </row>
    <row r="12" spans="2:15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t="s">
        <v>43</v>
      </c>
      <c r="B13" s="2">
        <f>64401+23271</f>
        <v>87672</v>
      </c>
      <c r="C13" s="2">
        <v>100414</v>
      </c>
      <c r="D13" s="2">
        <v>116914</v>
      </c>
      <c r="E13" s="2">
        <v>132647</v>
      </c>
      <c r="F13" s="2">
        <v>69050</v>
      </c>
      <c r="G13" s="2">
        <v>70090.3</v>
      </c>
      <c r="H13" s="2">
        <v>92008.9</v>
      </c>
      <c r="I13" s="2">
        <v>114559.7</v>
      </c>
      <c r="J13" s="2"/>
      <c r="K13" s="2"/>
      <c r="L13" s="2"/>
      <c r="M13" s="2">
        <f aca="true" t="shared" si="2" ref="M13:O14">C13+G13+J13</f>
        <v>170504.3</v>
      </c>
      <c r="N13" s="2">
        <f t="shared" si="2"/>
        <v>208922.9</v>
      </c>
      <c r="O13" s="2">
        <f t="shared" si="2"/>
        <v>247206.7</v>
      </c>
    </row>
    <row r="14" spans="1:15" ht="12.75">
      <c r="A14" t="s">
        <v>44</v>
      </c>
      <c r="B14" s="5">
        <v>-23271</v>
      </c>
      <c r="C14" s="5">
        <v>-32838</v>
      </c>
      <c r="D14" s="5">
        <f>-40629-2838</f>
        <v>-43467</v>
      </c>
      <c r="E14" s="5">
        <f>-52893-2838</f>
        <v>-55731</v>
      </c>
      <c r="F14" s="5">
        <v>-15800</v>
      </c>
      <c r="G14" s="5">
        <v>-20134</v>
      </c>
      <c r="H14" s="5">
        <v>-23593</v>
      </c>
      <c r="I14" s="5">
        <v>-26329</v>
      </c>
      <c r="J14" s="5"/>
      <c r="K14" s="5"/>
      <c r="L14" s="5"/>
      <c r="M14" s="5">
        <f t="shared" si="2"/>
        <v>-52972</v>
      </c>
      <c r="N14" s="5">
        <f t="shared" si="2"/>
        <v>-67060</v>
      </c>
      <c r="O14" s="5">
        <f t="shared" si="2"/>
        <v>-82060</v>
      </c>
    </row>
    <row r="15" spans="1:15" ht="12.75">
      <c r="A15" t="s">
        <v>45</v>
      </c>
      <c r="B15" s="2">
        <f>B13+B14</f>
        <v>64401</v>
      </c>
      <c r="C15" s="2">
        <f aca="true" t="shared" si="3" ref="C15:O15">C13+C14</f>
        <v>67576</v>
      </c>
      <c r="D15" s="2">
        <f t="shared" si="3"/>
        <v>73447</v>
      </c>
      <c r="E15" s="2">
        <f t="shared" si="3"/>
        <v>76916</v>
      </c>
      <c r="F15" s="2">
        <f t="shared" si="3"/>
        <v>53250</v>
      </c>
      <c r="G15" s="2">
        <f t="shared" si="3"/>
        <v>49956.3</v>
      </c>
      <c r="H15" s="2">
        <f t="shared" si="3"/>
        <v>68415.9</v>
      </c>
      <c r="I15" s="2">
        <f t="shared" si="3"/>
        <v>88230.7</v>
      </c>
      <c r="J15" s="2">
        <f t="shared" si="3"/>
        <v>0</v>
      </c>
      <c r="K15" s="2">
        <f t="shared" si="3"/>
        <v>0</v>
      </c>
      <c r="L15" s="2">
        <f t="shared" si="3"/>
        <v>0</v>
      </c>
      <c r="M15" s="2">
        <f t="shared" si="3"/>
        <v>117532.29999999999</v>
      </c>
      <c r="N15" s="2">
        <f t="shared" si="3"/>
        <v>141862.9</v>
      </c>
      <c r="O15" s="2">
        <f t="shared" si="3"/>
        <v>165146.7</v>
      </c>
    </row>
    <row r="16" spans="2:15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t="s">
        <v>46</v>
      </c>
      <c r="B17" s="2">
        <f>3346+209</f>
        <v>3555</v>
      </c>
      <c r="C17" s="2">
        <f>3921-3919+3255</f>
        <v>3257</v>
      </c>
      <c r="D17" s="2">
        <f>21110+105-1500</f>
        <v>19715</v>
      </c>
      <c r="E17" s="2">
        <f>26221-1171-1500</f>
        <v>23550</v>
      </c>
      <c r="F17" s="2">
        <v>0</v>
      </c>
      <c r="G17" s="2">
        <v>0</v>
      </c>
      <c r="H17" s="2">
        <v>0</v>
      </c>
      <c r="I17" s="2">
        <v>0</v>
      </c>
      <c r="J17" s="2"/>
      <c r="K17" s="2"/>
      <c r="L17" s="2"/>
      <c r="M17" s="2">
        <f aca="true" t="shared" si="4" ref="M17:O19">C17+G17+J17</f>
        <v>3257</v>
      </c>
      <c r="N17" s="2">
        <f t="shared" si="4"/>
        <v>19715</v>
      </c>
      <c r="O17" s="2">
        <f t="shared" si="4"/>
        <v>23550</v>
      </c>
    </row>
    <row r="18" spans="1:15" ht="12.75">
      <c r="A18" t="s">
        <v>47</v>
      </c>
      <c r="B18" s="2">
        <v>21308</v>
      </c>
      <c r="C18" s="2">
        <f>24563-3255</f>
        <v>21308</v>
      </c>
      <c r="D18" s="2">
        <v>21308</v>
      </c>
      <c r="E18" s="2">
        <f>20137+1171</f>
        <v>21308</v>
      </c>
      <c r="F18" s="2">
        <v>351</v>
      </c>
      <c r="G18" s="2">
        <v>351</v>
      </c>
      <c r="H18" s="2">
        <v>351</v>
      </c>
      <c r="I18" s="2">
        <v>351</v>
      </c>
      <c r="J18" s="2"/>
      <c r="K18" s="2"/>
      <c r="L18" s="2"/>
      <c r="M18" s="2">
        <f t="shared" si="4"/>
        <v>21659</v>
      </c>
      <c r="N18" s="2">
        <f t="shared" si="4"/>
        <v>21659</v>
      </c>
      <c r="O18" s="2">
        <f t="shared" si="4"/>
        <v>21659</v>
      </c>
    </row>
    <row r="19" spans="1:15" ht="12.75">
      <c r="A19" t="s">
        <v>96</v>
      </c>
      <c r="B19" s="5">
        <f>2500</f>
        <v>2500</v>
      </c>
      <c r="C19" s="5">
        <f>1335+151+1407</f>
        <v>2893</v>
      </c>
      <c r="D19" s="5">
        <f>0+112+1411+1500</f>
        <v>3023</v>
      </c>
      <c r="E19" s="5">
        <f>551+78+1435+1500</f>
        <v>3564</v>
      </c>
      <c r="F19" s="5">
        <f>1582+840+208</f>
        <v>2630</v>
      </c>
      <c r="G19" s="5">
        <f>1473+960+208</f>
        <v>2641</v>
      </c>
      <c r="H19" s="5">
        <f>1598+1147+226</f>
        <v>2971</v>
      </c>
      <c r="I19" s="5">
        <f>735+5597+408</f>
        <v>6740</v>
      </c>
      <c r="J19" s="5"/>
      <c r="K19" s="5"/>
      <c r="L19" s="5"/>
      <c r="M19" s="5">
        <f t="shared" si="4"/>
        <v>5534</v>
      </c>
      <c r="N19" s="5">
        <f t="shared" si="4"/>
        <v>5994</v>
      </c>
      <c r="O19" s="5">
        <f t="shared" si="4"/>
        <v>10304</v>
      </c>
    </row>
    <row r="20" spans="1:15" ht="13.5" thickBot="1">
      <c r="A20" t="s">
        <v>48</v>
      </c>
      <c r="B20" s="9">
        <f aca="true" t="shared" si="5" ref="B20:O20">B11+B15+SUM(B17:B19)</f>
        <v>192904</v>
      </c>
      <c r="C20" s="9">
        <f t="shared" si="5"/>
        <v>205805</v>
      </c>
      <c r="D20" s="9">
        <f t="shared" si="5"/>
        <v>242836</v>
      </c>
      <c r="E20" s="9">
        <f t="shared" si="5"/>
        <v>252948.5</v>
      </c>
      <c r="F20" s="9">
        <f t="shared" si="5"/>
        <v>88972</v>
      </c>
      <c r="G20" s="9">
        <f t="shared" si="5"/>
        <v>85414.3</v>
      </c>
      <c r="H20" s="9">
        <f t="shared" si="5"/>
        <v>109769.9</v>
      </c>
      <c r="I20" s="9">
        <f t="shared" si="5"/>
        <v>142292.7</v>
      </c>
      <c r="J20" s="9">
        <f t="shared" si="5"/>
        <v>-20177.59</v>
      </c>
      <c r="K20" s="9">
        <f t="shared" si="5"/>
        <v>-24859.21</v>
      </c>
      <c r="L20" s="9">
        <f t="shared" si="5"/>
        <v>-33879.28</v>
      </c>
      <c r="M20" s="9">
        <f t="shared" si="5"/>
        <v>271041.70999999996</v>
      </c>
      <c r="N20" s="9">
        <f t="shared" si="5"/>
        <v>327746.69</v>
      </c>
      <c r="O20" s="9">
        <f t="shared" si="5"/>
        <v>361361.92000000004</v>
      </c>
    </row>
    <row r="21" spans="2:15" ht="13.5" thickTop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t="s">
        <v>71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t="s">
        <v>49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6" ht="12.75">
      <c r="A24" t="s">
        <v>50</v>
      </c>
      <c r="B24" s="2">
        <v>46015</v>
      </c>
      <c r="C24" s="2">
        <v>39649</v>
      </c>
      <c r="D24" s="2">
        <f>53950+14122.5-2838</f>
        <v>65234.5</v>
      </c>
      <c r="E24" s="2">
        <f>73778-2943</f>
        <v>70835</v>
      </c>
      <c r="F24" s="2">
        <v>11878</v>
      </c>
      <c r="G24" s="2">
        <v>11955</v>
      </c>
      <c r="H24" s="2">
        <v>12469</v>
      </c>
      <c r="I24" s="2">
        <v>20679</v>
      </c>
      <c r="J24" s="2">
        <f>J8</f>
        <v>-20177.59</v>
      </c>
      <c r="K24" s="2">
        <f>K8</f>
        <v>-24859.21</v>
      </c>
      <c r="L24" s="2">
        <f>L8</f>
        <v>-33879.28</v>
      </c>
      <c r="M24" s="2">
        <f>C24+G24+J24</f>
        <v>31426.41</v>
      </c>
      <c r="N24" s="2">
        <f aca="true" t="shared" si="6" ref="M24:O28">D24+H24+K24</f>
        <v>52844.29</v>
      </c>
      <c r="O24" s="2">
        <f t="shared" si="6"/>
        <v>57634.72</v>
      </c>
      <c r="P24" s="6"/>
    </row>
    <row r="25" spans="1:15" ht="12.75">
      <c r="A25" t="s">
        <v>51</v>
      </c>
      <c r="B25" s="2">
        <v>0</v>
      </c>
      <c r="C25" s="2">
        <v>2565</v>
      </c>
      <c r="D25" s="2">
        <v>6078</v>
      </c>
      <c r="E25" s="2">
        <v>13693</v>
      </c>
      <c r="F25" s="2">
        <v>0</v>
      </c>
      <c r="G25" s="2">
        <v>0</v>
      </c>
      <c r="H25" s="2">
        <v>0</v>
      </c>
      <c r="I25" s="2">
        <v>0</v>
      </c>
      <c r="J25" s="2"/>
      <c r="K25" s="2"/>
      <c r="L25" s="2"/>
      <c r="M25" s="2">
        <f t="shared" si="6"/>
        <v>2565</v>
      </c>
      <c r="N25" s="2">
        <f t="shared" si="6"/>
        <v>6078</v>
      </c>
      <c r="O25" s="2">
        <f t="shared" si="6"/>
        <v>13693</v>
      </c>
    </row>
    <row r="26" spans="1:15" ht="12.75">
      <c r="A26" t="s">
        <v>52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/>
      <c r="K26" s="2"/>
      <c r="L26" s="2"/>
      <c r="M26" s="2">
        <f t="shared" si="6"/>
        <v>0</v>
      </c>
      <c r="N26" s="2">
        <f t="shared" si="6"/>
        <v>0</v>
      </c>
      <c r="O26" s="2">
        <f t="shared" si="6"/>
        <v>0</v>
      </c>
    </row>
    <row r="27" spans="1:15" ht="12.75">
      <c r="A27" t="s">
        <v>53</v>
      </c>
      <c r="B27" s="2">
        <v>0</v>
      </c>
      <c r="C27" s="2">
        <v>2140</v>
      </c>
      <c r="D27" s="2">
        <v>13985</v>
      </c>
      <c r="E27" s="2">
        <v>1125</v>
      </c>
      <c r="F27" s="2">
        <v>0</v>
      </c>
      <c r="G27" s="2">
        <v>0</v>
      </c>
      <c r="H27" s="2">
        <v>0</v>
      </c>
      <c r="I27" s="2">
        <v>0</v>
      </c>
      <c r="J27" s="2"/>
      <c r="K27" s="2"/>
      <c r="L27" s="2"/>
      <c r="M27" s="2">
        <f t="shared" si="6"/>
        <v>2140</v>
      </c>
      <c r="N27" s="2">
        <f t="shared" si="6"/>
        <v>13985</v>
      </c>
      <c r="O27" s="2">
        <f t="shared" si="6"/>
        <v>1125</v>
      </c>
    </row>
    <row r="28" spans="1:15" ht="12.75">
      <c r="A28" t="s">
        <v>54</v>
      </c>
      <c r="B28" s="5">
        <v>0</v>
      </c>
      <c r="C28" s="5">
        <v>0</v>
      </c>
      <c r="D28" s="5">
        <v>0</v>
      </c>
      <c r="E28" s="5">
        <v>0</v>
      </c>
      <c r="F28" s="5">
        <v>1730</v>
      </c>
      <c r="G28" s="5">
        <v>1570</v>
      </c>
      <c r="H28" s="5">
        <v>983</v>
      </c>
      <c r="I28" s="5">
        <v>1258</v>
      </c>
      <c r="J28" s="5"/>
      <c r="K28" s="5"/>
      <c r="L28" s="5"/>
      <c r="M28" s="5">
        <f t="shared" si="6"/>
        <v>1570</v>
      </c>
      <c r="N28" s="5">
        <f t="shared" si="6"/>
        <v>983</v>
      </c>
      <c r="O28" s="5">
        <f t="shared" si="6"/>
        <v>1258</v>
      </c>
    </row>
    <row r="29" spans="1:15" ht="12.75">
      <c r="A29" t="s">
        <v>55</v>
      </c>
      <c r="B29" s="2">
        <f>SUM(B24:B28)</f>
        <v>46015</v>
      </c>
      <c r="C29" s="2">
        <f aca="true" t="shared" si="7" ref="C29:O29">SUM(C24:C28)</f>
        <v>44354</v>
      </c>
      <c r="D29" s="2">
        <f t="shared" si="7"/>
        <v>85297.5</v>
      </c>
      <c r="E29" s="2">
        <f t="shared" si="7"/>
        <v>85653</v>
      </c>
      <c r="F29" s="2">
        <f t="shared" si="7"/>
        <v>13608</v>
      </c>
      <c r="G29" s="2">
        <f t="shared" si="7"/>
        <v>13525</v>
      </c>
      <c r="H29" s="2">
        <f t="shared" si="7"/>
        <v>13452</v>
      </c>
      <c r="I29" s="2">
        <f t="shared" si="7"/>
        <v>21937</v>
      </c>
      <c r="J29" s="2">
        <f t="shared" si="7"/>
        <v>-20177.59</v>
      </c>
      <c r="K29" s="2">
        <f t="shared" si="7"/>
        <v>-24859.21</v>
      </c>
      <c r="L29" s="2">
        <f t="shared" si="7"/>
        <v>-33879.28</v>
      </c>
      <c r="M29" s="2">
        <f t="shared" si="7"/>
        <v>37701.41</v>
      </c>
      <c r="N29" s="2">
        <f t="shared" si="7"/>
        <v>73890.29000000001</v>
      </c>
      <c r="O29" s="2">
        <f t="shared" si="7"/>
        <v>73710.72</v>
      </c>
    </row>
    <row r="30" spans="2:15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t="s">
        <v>56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3.5" customHeight="1">
      <c r="A32" t="s">
        <v>57</v>
      </c>
      <c r="B32" s="2">
        <v>0</v>
      </c>
      <c r="C32" s="2">
        <f>12860</f>
        <v>12860</v>
      </c>
      <c r="D32" s="2">
        <v>2812</v>
      </c>
      <c r="E32" s="2">
        <v>1688</v>
      </c>
      <c r="F32" s="2">
        <f>53889-49533.05+53250</f>
        <v>57605.95</v>
      </c>
      <c r="G32" s="2">
        <f>52385-66</f>
        <v>52319</v>
      </c>
      <c r="H32" s="2">
        <v>69652</v>
      </c>
      <c r="I32" s="2">
        <f>81674-52</f>
        <v>81622</v>
      </c>
      <c r="J32" s="2"/>
      <c r="K32" s="2"/>
      <c r="L32" s="2"/>
      <c r="M32" s="2">
        <f aca="true" t="shared" si="8" ref="M32:O33">C32+G32+J32</f>
        <v>65179</v>
      </c>
      <c r="N32" s="2">
        <f t="shared" si="8"/>
        <v>72464</v>
      </c>
      <c r="O32" s="2">
        <f t="shared" si="8"/>
        <v>83310</v>
      </c>
    </row>
    <row r="33" spans="1:15" ht="12.75">
      <c r="A33" t="s">
        <v>58</v>
      </c>
      <c r="B33" s="5">
        <v>400</v>
      </c>
      <c r="C33" s="5">
        <v>422</v>
      </c>
      <c r="D33" s="5">
        <v>2099</v>
      </c>
      <c r="E33" s="5">
        <v>3908</v>
      </c>
      <c r="F33" s="5">
        <v>840</v>
      </c>
      <c r="G33" s="5">
        <v>942</v>
      </c>
      <c r="H33" s="5">
        <f>1173-0.05</f>
        <v>1172.95</v>
      </c>
      <c r="I33" s="5">
        <f>2319-0.05</f>
        <v>2318.95</v>
      </c>
      <c r="J33" s="5"/>
      <c r="K33" s="5"/>
      <c r="L33" s="5"/>
      <c r="M33" s="5">
        <f t="shared" si="8"/>
        <v>1364</v>
      </c>
      <c r="N33" s="5">
        <f t="shared" si="8"/>
        <v>3271.95</v>
      </c>
      <c r="O33" s="5">
        <f t="shared" si="8"/>
        <v>6226.95</v>
      </c>
    </row>
    <row r="34" spans="1:15" ht="12.75">
      <c r="A34" t="s">
        <v>59</v>
      </c>
      <c r="B34" s="2">
        <f aca="true" t="shared" si="9" ref="B34:O34">SUM(B32:B33)</f>
        <v>400</v>
      </c>
      <c r="C34" s="2">
        <f t="shared" si="9"/>
        <v>13282</v>
      </c>
      <c r="D34" s="2">
        <f t="shared" si="9"/>
        <v>4911</v>
      </c>
      <c r="E34" s="2">
        <f t="shared" si="9"/>
        <v>5596</v>
      </c>
      <c r="F34" s="2">
        <f t="shared" si="9"/>
        <v>58445.95</v>
      </c>
      <c r="G34" s="2">
        <f t="shared" si="9"/>
        <v>53261</v>
      </c>
      <c r="H34" s="2">
        <f t="shared" si="9"/>
        <v>70824.95</v>
      </c>
      <c r="I34" s="2">
        <f t="shared" si="9"/>
        <v>83940.95</v>
      </c>
      <c r="J34" s="2">
        <f t="shared" si="9"/>
        <v>0</v>
      </c>
      <c r="K34" s="2">
        <f t="shared" si="9"/>
        <v>0</v>
      </c>
      <c r="L34" s="2">
        <f t="shared" si="9"/>
        <v>0</v>
      </c>
      <c r="M34" s="2">
        <f t="shared" si="9"/>
        <v>66543</v>
      </c>
      <c r="N34" s="2">
        <f t="shared" si="9"/>
        <v>75735.95</v>
      </c>
      <c r="O34" s="2">
        <f t="shared" si="9"/>
        <v>89536.95</v>
      </c>
    </row>
    <row r="35" spans="2:15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t="s">
        <v>72</v>
      </c>
      <c r="B36" s="2">
        <f aca="true" t="shared" si="10" ref="B36:O36">B29+B34</f>
        <v>46415</v>
      </c>
      <c r="C36" s="2">
        <f t="shared" si="10"/>
        <v>57636</v>
      </c>
      <c r="D36" s="2">
        <f t="shared" si="10"/>
        <v>90208.5</v>
      </c>
      <c r="E36" s="2">
        <f t="shared" si="10"/>
        <v>91249</v>
      </c>
      <c r="F36" s="2">
        <f t="shared" si="10"/>
        <v>72053.95</v>
      </c>
      <c r="G36" s="2">
        <f t="shared" si="10"/>
        <v>66786</v>
      </c>
      <c r="H36" s="2">
        <f t="shared" si="10"/>
        <v>84276.95</v>
      </c>
      <c r="I36" s="2">
        <f t="shared" si="10"/>
        <v>105877.95</v>
      </c>
      <c r="J36" s="2">
        <f t="shared" si="10"/>
        <v>-20177.59</v>
      </c>
      <c r="K36" s="2">
        <f t="shared" si="10"/>
        <v>-24859.21</v>
      </c>
      <c r="L36" s="2">
        <f t="shared" si="10"/>
        <v>-33879.28</v>
      </c>
      <c r="M36" s="2">
        <f t="shared" si="10"/>
        <v>104244.41</v>
      </c>
      <c r="N36" s="2">
        <f t="shared" si="10"/>
        <v>149626.24</v>
      </c>
      <c r="O36" s="2">
        <f t="shared" si="10"/>
        <v>163247.66999999998</v>
      </c>
    </row>
    <row r="37" spans="2:15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t="s">
        <v>60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t="s">
        <v>61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/>
      <c r="K39" s="2"/>
      <c r="L39" s="2"/>
      <c r="M39" s="2">
        <f aca="true" t="shared" si="11" ref="M39:O43">C39+G39+J39</f>
        <v>0</v>
      </c>
      <c r="N39" s="2">
        <f t="shared" si="11"/>
        <v>0</v>
      </c>
      <c r="O39" s="2">
        <f t="shared" si="11"/>
        <v>0</v>
      </c>
    </row>
    <row r="40" spans="1:15" ht="12.75">
      <c r="A40" t="s">
        <v>62</v>
      </c>
      <c r="B40" s="2">
        <v>104</v>
      </c>
      <c r="C40" s="2">
        <v>104</v>
      </c>
      <c r="D40" s="2">
        <v>104</v>
      </c>
      <c r="E40" s="2">
        <v>104</v>
      </c>
      <c r="F40" s="2">
        <v>91</v>
      </c>
      <c r="G40" s="2">
        <v>91</v>
      </c>
      <c r="H40" s="2">
        <v>91</v>
      </c>
      <c r="I40" s="2">
        <v>91</v>
      </c>
      <c r="J40" s="2"/>
      <c r="K40" s="2"/>
      <c r="L40" s="2"/>
      <c r="M40" s="2">
        <f t="shared" si="11"/>
        <v>195</v>
      </c>
      <c r="N40" s="2">
        <f t="shared" si="11"/>
        <v>195</v>
      </c>
      <c r="O40" s="2">
        <f t="shared" si="11"/>
        <v>195</v>
      </c>
    </row>
    <row r="41" spans="1:15" ht="12.75">
      <c r="A41" t="s">
        <v>63</v>
      </c>
      <c r="B41" s="2">
        <v>146280</v>
      </c>
      <c r="C41" s="2">
        <v>146280</v>
      </c>
      <c r="D41" s="2">
        <v>146280</v>
      </c>
      <c r="E41" s="2">
        <v>146280</v>
      </c>
      <c r="F41" s="2">
        <v>6827</v>
      </c>
      <c r="G41" s="2">
        <v>6827</v>
      </c>
      <c r="H41" s="2">
        <v>6827</v>
      </c>
      <c r="I41" s="2">
        <v>6827</v>
      </c>
      <c r="J41" s="2"/>
      <c r="K41" s="2"/>
      <c r="L41" s="2"/>
      <c r="M41" s="2">
        <f t="shared" si="11"/>
        <v>153107</v>
      </c>
      <c r="N41" s="2">
        <f t="shared" si="11"/>
        <v>153107</v>
      </c>
      <c r="O41" s="2">
        <f t="shared" si="11"/>
        <v>153107</v>
      </c>
    </row>
    <row r="42" spans="1:15" ht="12.75">
      <c r="A42" t="s">
        <v>64</v>
      </c>
      <c r="B42" s="2">
        <v>105</v>
      </c>
      <c r="C42" s="2">
        <f>1680+105</f>
        <v>1785</v>
      </c>
      <c r="D42" s="2">
        <f>8703.5-2565+105</f>
        <v>6243.5</v>
      </c>
      <c r="E42" s="2">
        <f>23853.5-8643+105</f>
        <v>15315.5</v>
      </c>
      <c r="F42" s="2">
        <v>10000.05</v>
      </c>
      <c r="G42" s="2">
        <v>11710.3</v>
      </c>
      <c r="H42" s="2">
        <f>18574.9+0.05</f>
        <v>18574.95</v>
      </c>
      <c r="I42" s="2">
        <f>29496.7+0.05</f>
        <v>29496.75</v>
      </c>
      <c r="J42" s="2"/>
      <c r="K42" s="2"/>
      <c r="L42" s="2"/>
      <c r="M42" s="2">
        <f t="shared" si="11"/>
        <v>13495.3</v>
      </c>
      <c r="N42" s="2">
        <f t="shared" si="11"/>
        <v>24818.45</v>
      </c>
      <c r="O42" s="2">
        <f t="shared" si="11"/>
        <v>44812.25</v>
      </c>
    </row>
    <row r="43" spans="1:15" ht="12.75">
      <c r="A43" t="s">
        <v>65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/>
      <c r="K43" s="5"/>
      <c r="L43" s="5"/>
      <c r="M43" s="5">
        <f t="shared" si="11"/>
        <v>0</v>
      </c>
      <c r="N43" s="5">
        <f t="shared" si="11"/>
        <v>0</v>
      </c>
      <c r="O43" s="5">
        <f t="shared" si="11"/>
        <v>0</v>
      </c>
    </row>
    <row r="44" spans="1:15" ht="12.75">
      <c r="A44" t="s">
        <v>66</v>
      </c>
      <c r="B44" s="2">
        <f>SUM(B39:B43)</f>
        <v>146489</v>
      </c>
      <c r="C44" s="2">
        <f aca="true" t="shared" si="12" ref="C44:O44">SUM(C39:C43)</f>
        <v>148169</v>
      </c>
      <c r="D44" s="2">
        <f t="shared" si="12"/>
        <v>152627.5</v>
      </c>
      <c r="E44" s="2">
        <f t="shared" si="12"/>
        <v>161699.5</v>
      </c>
      <c r="F44" s="2">
        <f t="shared" si="12"/>
        <v>16918.05</v>
      </c>
      <c r="G44" s="2">
        <f t="shared" si="12"/>
        <v>18628.3</v>
      </c>
      <c r="H44" s="2">
        <f t="shared" si="12"/>
        <v>25492.95</v>
      </c>
      <c r="I44" s="2">
        <f t="shared" si="12"/>
        <v>36414.75</v>
      </c>
      <c r="J44" s="2">
        <f t="shared" si="12"/>
        <v>0</v>
      </c>
      <c r="K44" s="2">
        <f t="shared" si="12"/>
        <v>0</v>
      </c>
      <c r="L44" s="2">
        <f t="shared" si="12"/>
        <v>0</v>
      </c>
      <c r="M44" s="2">
        <f t="shared" si="12"/>
        <v>166797.3</v>
      </c>
      <c r="N44" s="2">
        <f t="shared" si="12"/>
        <v>178120.45</v>
      </c>
      <c r="O44" s="2">
        <f t="shared" si="12"/>
        <v>198114.25</v>
      </c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3.5" thickBot="1">
      <c r="A46" t="s">
        <v>67</v>
      </c>
      <c r="B46" s="10">
        <f>B36+B44</f>
        <v>192904</v>
      </c>
      <c r="C46" s="10">
        <f aca="true" t="shared" si="13" ref="C46:O46">C36+C44</f>
        <v>205805</v>
      </c>
      <c r="D46" s="10">
        <f t="shared" si="13"/>
        <v>242836</v>
      </c>
      <c r="E46" s="10">
        <f t="shared" si="13"/>
        <v>252948.5</v>
      </c>
      <c r="F46" s="10">
        <f t="shared" si="13"/>
        <v>88972</v>
      </c>
      <c r="G46" s="10">
        <f t="shared" si="13"/>
        <v>85414.3</v>
      </c>
      <c r="H46" s="10">
        <f t="shared" si="13"/>
        <v>109769.9</v>
      </c>
      <c r="I46" s="10">
        <f t="shared" si="13"/>
        <v>142292.7</v>
      </c>
      <c r="J46" s="10">
        <f t="shared" si="13"/>
        <v>-20177.59</v>
      </c>
      <c r="K46" s="10">
        <f t="shared" si="13"/>
        <v>-24859.21</v>
      </c>
      <c r="L46" s="10">
        <f t="shared" si="13"/>
        <v>-33879.28</v>
      </c>
      <c r="M46" s="10">
        <f t="shared" si="13"/>
        <v>271041.70999999996</v>
      </c>
      <c r="N46" s="10">
        <f t="shared" si="13"/>
        <v>327746.69</v>
      </c>
      <c r="O46" s="10">
        <f t="shared" si="13"/>
        <v>361361.92</v>
      </c>
    </row>
    <row r="47" spans="2:15" ht="13.5" thickTop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3:9" ht="12.75">
      <c r="C49" s="6"/>
      <c r="D49" s="6"/>
      <c r="E49" s="6"/>
      <c r="F49" s="6"/>
      <c r="G49" s="6"/>
      <c r="H49" s="6"/>
      <c r="I49" s="6"/>
    </row>
    <row r="50" spans="3:9" ht="12.75">
      <c r="C50" s="6"/>
      <c r="D50" s="6"/>
      <c r="E50" s="6"/>
      <c r="F50" s="6"/>
      <c r="G50" s="6"/>
      <c r="H50" s="6"/>
      <c r="I50" s="6"/>
    </row>
    <row r="51" spans="7:9" ht="12.75">
      <c r="G51" s="6"/>
      <c r="H51" s="6"/>
      <c r="I51" s="6"/>
    </row>
    <row r="52" spans="6:9" ht="12.75">
      <c r="F52" s="6"/>
      <c r="G52" s="6"/>
      <c r="H52" s="6"/>
      <c r="I52" s="6"/>
    </row>
  </sheetData>
  <sheetProtection/>
  <mergeCells count="4">
    <mergeCell ref="G1:I1"/>
    <mergeCell ref="C1:E1"/>
    <mergeCell ref="M1:O1"/>
    <mergeCell ref="J1:L1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34.00390625" style="0" bestFit="1" customWidth="1"/>
    <col min="2" max="4" width="10.8515625" style="0" bestFit="1" customWidth="1"/>
    <col min="5" max="5" width="10.140625" style="0" bestFit="1" customWidth="1"/>
    <col min="6" max="7" width="10.8515625" style="0" bestFit="1" customWidth="1"/>
    <col min="8" max="8" width="13.421875" style="0" customWidth="1"/>
    <col min="9" max="9" width="12.8515625" style="0" customWidth="1"/>
    <col min="10" max="10" width="10.8515625" style="0" bestFit="1" customWidth="1"/>
    <col min="11" max="13" width="11.28125" style="0" bestFit="1" customWidth="1"/>
  </cols>
  <sheetData>
    <row r="1" spans="1:13" ht="12.75">
      <c r="A1" s="3" t="s">
        <v>74</v>
      </c>
      <c r="B1" s="36" t="s">
        <v>34</v>
      </c>
      <c r="C1" s="36"/>
      <c r="D1" s="36"/>
      <c r="E1" s="36" t="s">
        <v>1</v>
      </c>
      <c r="F1" s="36"/>
      <c r="G1" s="36"/>
      <c r="H1" s="36" t="s">
        <v>68</v>
      </c>
      <c r="I1" s="36"/>
      <c r="J1" s="36"/>
      <c r="K1" s="36" t="s">
        <v>2</v>
      </c>
      <c r="L1" s="36"/>
      <c r="M1" s="36"/>
    </row>
    <row r="2" spans="2:13" ht="12.75">
      <c r="B2" s="1">
        <v>37621</v>
      </c>
      <c r="C2" s="1">
        <v>37986</v>
      </c>
      <c r="D2" s="1">
        <v>38352</v>
      </c>
      <c r="E2" s="1">
        <v>37621</v>
      </c>
      <c r="F2" s="1">
        <v>37986</v>
      </c>
      <c r="G2" s="1">
        <v>38352</v>
      </c>
      <c r="H2" s="1">
        <v>37621</v>
      </c>
      <c r="I2" s="1">
        <v>37986</v>
      </c>
      <c r="J2" s="1">
        <v>38352</v>
      </c>
      <c r="K2" s="1">
        <v>37621</v>
      </c>
      <c r="L2" s="1">
        <v>37986</v>
      </c>
      <c r="M2" s="1">
        <v>38352</v>
      </c>
    </row>
    <row r="4" ht="12.75">
      <c r="A4" t="s">
        <v>77</v>
      </c>
    </row>
    <row r="5" spans="1:13" ht="12.75">
      <c r="A5" t="s">
        <v>78</v>
      </c>
      <c r="B5" s="6">
        <f>'Income Statement'!B32</f>
        <v>6707</v>
      </c>
      <c r="C5" s="6">
        <f>'Income Statement'!C32</f>
        <v>14718</v>
      </c>
      <c r="D5" s="6">
        <f>'Income Statement'!D32</f>
        <v>30010</v>
      </c>
      <c r="E5" s="6">
        <f>'Income Statement'!E32</f>
        <v>1710.25</v>
      </c>
      <c r="F5" s="6">
        <f>'Income Statement'!F32</f>
        <v>6864.65</v>
      </c>
      <c r="G5" s="6">
        <f>'Income Statement'!G32</f>
        <v>10921.8</v>
      </c>
      <c r="H5" s="6">
        <f>'Income Statement'!H32</f>
        <v>0</v>
      </c>
      <c r="I5" s="6">
        <f>'Income Statement'!I32</f>
        <v>0</v>
      </c>
      <c r="J5" s="6">
        <f>'Income Statement'!J32</f>
        <v>0</v>
      </c>
      <c r="K5" s="6">
        <f aca="true" t="shared" si="0" ref="K5:K11">B5+E5-H5</f>
        <v>8417.25</v>
      </c>
      <c r="L5" s="6">
        <f aca="true" t="shared" si="1" ref="L5:L11">C5+F5-I5</f>
        <v>21582.65</v>
      </c>
      <c r="M5" s="6">
        <f aca="true" t="shared" si="2" ref="M5:M11">D5+G5-J5</f>
        <v>40931.8</v>
      </c>
    </row>
    <row r="6" spans="1:13" ht="12.75">
      <c r="A6" t="s">
        <v>79</v>
      </c>
      <c r="B6" s="6">
        <f>'Income Statement'!B11</f>
        <v>9567</v>
      </c>
      <c r="C6" s="6">
        <f>'Income Statement'!C11</f>
        <v>10629</v>
      </c>
      <c r="D6" s="6">
        <f>'Income Statement'!D11</f>
        <v>12264</v>
      </c>
      <c r="E6" s="6">
        <f>'Income Statement'!E11</f>
        <v>4334</v>
      </c>
      <c r="F6" s="6">
        <f>'Income Statement'!F11</f>
        <v>3459</v>
      </c>
      <c r="G6" s="6">
        <f>'Income Statement'!G11</f>
        <v>2736</v>
      </c>
      <c r="H6" s="6">
        <f>'Income Statement'!H11</f>
        <v>0</v>
      </c>
      <c r="I6" s="6">
        <f>'Income Statement'!I11</f>
        <v>0</v>
      </c>
      <c r="J6" s="6">
        <f>'Income Statement'!J11</f>
        <v>0</v>
      </c>
      <c r="K6" s="6">
        <f t="shared" si="0"/>
        <v>13901</v>
      </c>
      <c r="L6" s="6">
        <f t="shared" si="1"/>
        <v>14088</v>
      </c>
      <c r="M6" s="6">
        <f t="shared" si="2"/>
        <v>15000</v>
      </c>
    </row>
    <row r="7" spans="1:13" ht="12.75">
      <c r="A7" t="s">
        <v>80</v>
      </c>
      <c r="B7" s="6">
        <f>'Balance Sheet'!B8-'Balance Sheet'!C8</f>
        <v>-4378</v>
      </c>
      <c r="C7" s="6">
        <f>'Balance Sheet'!C8-'Balance Sheet'!D8</f>
        <v>-8478</v>
      </c>
      <c r="D7" s="6">
        <f>'Balance Sheet'!D8-'Balance Sheet'!E8</f>
        <v>-12920</v>
      </c>
      <c r="E7" s="6">
        <f>'Balance Sheet'!F8-'Balance Sheet'!G8</f>
        <v>-389</v>
      </c>
      <c r="F7" s="6">
        <f>'Balance Sheet'!G8-'Balance Sheet'!H8</f>
        <v>1148</v>
      </c>
      <c r="G7" s="6">
        <f>'Balance Sheet'!H8-'Balance Sheet'!I8</f>
        <v>-6872</v>
      </c>
      <c r="H7" s="32">
        <v>0</v>
      </c>
      <c r="I7" s="6">
        <f>'Balance Sheet'!K8-'Balance Sheet'!J8</f>
        <v>-4681.619999999999</v>
      </c>
      <c r="J7" s="6">
        <f>'Balance Sheet'!L8-'Balance Sheet'!K8</f>
        <v>-9020.07</v>
      </c>
      <c r="K7" s="6">
        <f t="shared" si="0"/>
        <v>-4767</v>
      </c>
      <c r="L7" s="6">
        <f t="shared" si="1"/>
        <v>-2648.380000000001</v>
      </c>
      <c r="M7" s="6">
        <f t="shared" si="2"/>
        <v>-10771.93</v>
      </c>
    </row>
    <row r="8" spans="1:13" ht="12.75">
      <c r="A8" t="s">
        <v>81</v>
      </c>
      <c r="B8" s="6">
        <f>'Balance Sheet'!B9-'Balance Sheet'!C9</f>
        <v>-6006</v>
      </c>
      <c r="C8" s="6">
        <f>'Balance Sheet'!C9-'Balance Sheet'!D9</f>
        <v>-7308</v>
      </c>
      <c r="D8" s="6">
        <f>'Balance Sheet'!D9-'Balance Sheet'!E9</f>
        <v>-7832</v>
      </c>
      <c r="E8" s="6">
        <f>'Balance Sheet'!F9-'Balance Sheet'!G9</f>
        <v>-501</v>
      </c>
      <c r="F8" s="6">
        <f>'Balance Sheet'!G9-'Balance Sheet'!H9</f>
        <v>-3149</v>
      </c>
      <c r="G8" s="6">
        <f>'Balance Sheet'!H9-'Balance Sheet'!I9</f>
        <v>-3388</v>
      </c>
      <c r="H8" s="6">
        <f>'Balance Sheet'!J9-'Balance Sheet'!K9</f>
        <v>0</v>
      </c>
      <c r="I8" s="6">
        <f>'Balance Sheet'!K9-'Balance Sheet'!L9</f>
        <v>0</v>
      </c>
      <c r="J8" s="6">
        <f>-'Balance Sheet'!L9</f>
        <v>0</v>
      </c>
      <c r="K8" s="6">
        <f t="shared" si="0"/>
        <v>-6507</v>
      </c>
      <c r="L8" s="6">
        <f t="shared" si="1"/>
        <v>-10457</v>
      </c>
      <c r="M8" s="6">
        <f t="shared" si="2"/>
        <v>-11220</v>
      </c>
    </row>
    <row r="9" spans="1:13" ht="12.75">
      <c r="A9" t="s">
        <v>82</v>
      </c>
      <c r="B9" s="6">
        <f>'Balance Sheet'!B10-'Balance Sheet'!C10</f>
        <v>-2377</v>
      </c>
      <c r="C9" s="6">
        <f>'Balance Sheet'!C10-'Balance Sheet'!D10</f>
        <v>510</v>
      </c>
      <c r="D9" s="6">
        <f>'Balance Sheet'!D10-'Balance Sheet'!E10</f>
        <v>741</v>
      </c>
      <c r="E9" s="6">
        <f>'Balance Sheet'!F10-'Balance Sheet'!G10</f>
        <v>-12</v>
      </c>
      <c r="F9" s="6">
        <f>'Balance Sheet'!G10-'Balance Sheet'!H10</f>
        <v>106</v>
      </c>
      <c r="G9" s="6">
        <f>'Balance Sheet'!H10-'Balance Sheet'!I10</f>
        <v>-203</v>
      </c>
      <c r="H9" s="6">
        <f>'Balance Sheet'!J10-'Balance Sheet'!K10</f>
        <v>0</v>
      </c>
      <c r="I9" s="6">
        <f>'Balance Sheet'!K10-'Balance Sheet'!L10</f>
        <v>0</v>
      </c>
      <c r="J9" s="6">
        <v>0</v>
      </c>
      <c r="K9" s="6">
        <f t="shared" si="0"/>
        <v>-2389</v>
      </c>
      <c r="L9" s="6">
        <f t="shared" si="1"/>
        <v>616</v>
      </c>
      <c r="M9" s="6">
        <f t="shared" si="2"/>
        <v>538</v>
      </c>
    </row>
    <row r="10" spans="1:13" ht="12.75">
      <c r="A10" t="s">
        <v>83</v>
      </c>
      <c r="B10" s="6">
        <f>'Balance Sheet'!C24-'Balance Sheet'!B24</f>
        <v>-6366</v>
      </c>
      <c r="C10" s="6">
        <f>'Balance Sheet'!D24-'Balance Sheet'!C24</f>
        <v>25585.5</v>
      </c>
      <c r="D10" s="6">
        <f>'Balance Sheet'!E24-'Balance Sheet'!D24</f>
        <v>5600.5</v>
      </c>
      <c r="E10" s="6">
        <f>'Balance Sheet'!G24-'Balance Sheet'!F24</f>
        <v>77</v>
      </c>
      <c r="F10" s="6">
        <f>'Balance Sheet'!H24-'Balance Sheet'!G24</f>
        <v>514</v>
      </c>
      <c r="G10" s="6">
        <f>'Balance Sheet'!I24-'Balance Sheet'!H24</f>
        <v>8210</v>
      </c>
      <c r="H10" s="32">
        <v>0</v>
      </c>
      <c r="I10" s="6">
        <f>-('Balance Sheet'!K24-'Balance Sheet'!J24)</f>
        <v>4681.619999999999</v>
      </c>
      <c r="J10" s="6">
        <f>-('Balance Sheet'!L24-'Balance Sheet'!K24)</f>
        <v>9020.07</v>
      </c>
      <c r="K10" s="6">
        <f t="shared" si="0"/>
        <v>-6289</v>
      </c>
      <c r="L10" s="6">
        <f t="shared" si="1"/>
        <v>21417.88</v>
      </c>
      <c r="M10" s="6">
        <f t="shared" si="2"/>
        <v>4790.43</v>
      </c>
    </row>
    <row r="11" spans="1:13" ht="12.75">
      <c r="A11" t="s">
        <v>84</v>
      </c>
      <c r="B11" s="12">
        <f>'Balance Sheet'!C25+'Balance Sheet'!C26+'Balance Sheet'!C27-'Balance Sheet'!B25-'Balance Sheet'!B26-'Balance Sheet'!B27</f>
        <v>4705</v>
      </c>
      <c r="C11" s="12">
        <f>'Balance Sheet'!D25+'Balance Sheet'!D26+'Balance Sheet'!D27-'Balance Sheet'!C25-'Balance Sheet'!C26-'Balance Sheet'!C27</f>
        <v>15358</v>
      </c>
      <c r="D11" s="12">
        <f>'Balance Sheet'!E25+'Balance Sheet'!E26+'Balance Sheet'!E27-'Balance Sheet'!D25-'Balance Sheet'!D26-'Balance Sheet'!D27</f>
        <v>-5245</v>
      </c>
      <c r="E11" s="12">
        <f>'Balance Sheet'!G25+'Balance Sheet'!G26+'Balance Sheet'!G27-'Balance Sheet'!F25-'Balance Sheet'!F26-'Balance Sheet'!F27</f>
        <v>0</v>
      </c>
      <c r="F11" s="12">
        <f>'Balance Sheet'!H25+'Balance Sheet'!H26+'Balance Sheet'!H27-'Balance Sheet'!G25-'Balance Sheet'!G26-'Balance Sheet'!G27</f>
        <v>0</v>
      </c>
      <c r="G11" s="12">
        <f>'Balance Sheet'!I25+'Balance Sheet'!I26+'Balance Sheet'!I27-'Balance Sheet'!H25-'Balance Sheet'!H26-'Balance Sheet'!H27</f>
        <v>0</v>
      </c>
      <c r="H11" s="12">
        <f>'Balance Sheet'!K25+'Balance Sheet'!K26+'Balance Sheet'!K27-'Balance Sheet'!J25-'Balance Sheet'!J26-'Balance Sheet'!J27</f>
        <v>0</v>
      </c>
      <c r="I11" s="12">
        <f>'Balance Sheet'!L25+'Balance Sheet'!L26+'Balance Sheet'!L27-'Balance Sheet'!K25-'Balance Sheet'!K26-'Balance Sheet'!K27</f>
        <v>0</v>
      </c>
      <c r="J11" s="12">
        <v>0</v>
      </c>
      <c r="K11" s="12">
        <f t="shared" si="0"/>
        <v>4705</v>
      </c>
      <c r="L11" s="12">
        <f t="shared" si="1"/>
        <v>15358</v>
      </c>
      <c r="M11" s="12">
        <f t="shared" si="2"/>
        <v>-5245</v>
      </c>
    </row>
    <row r="12" spans="1:13" ht="12.75">
      <c r="A12" t="s">
        <v>91</v>
      </c>
      <c r="B12" s="6">
        <f>SUM(B5:B11)</f>
        <v>1852</v>
      </c>
      <c r="C12" s="6">
        <f aca="true" t="shared" si="3" ref="C12:H12">SUM(C5:C11)</f>
        <v>51014.5</v>
      </c>
      <c r="D12" s="6">
        <f t="shared" si="3"/>
        <v>22618.5</v>
      </c>
      <c r="E12" s="6">
        <f t="shared" si="3"/>
        <v>5219.25</v>
      </c>
      <c r="F12" s="6">
        <f t="shared" si="3"/>
        <v>8942.65</v>
      </c>
      <c r="G12" s="6">
        <f t="shared" si="3"/>
        <v>11404.8</v>
      </c>
      <c r="H12" s="6">
        <f t="shared" si="3"/>
        <v>0</v>
      </c>
      <c r="I12" s="6">
        <f>SUM(I5:I11)</f>
        <v>0</v>
      </c>
      <c r="J12" s="6">
        <f>SUM(J5:J11)</f>
        <v>0</v>
      </c>
      <c r="K12" s="6">
        <f>SUM(K5:K11)</f>
        <v>7071.25</v>
      </c>
      <c r="L12" s="6">
        <f>SUM(L5:L11)</f>
        <v>59957.15000000001</v>
      </c>
      <c r="M12" s="6">
        <f>SUM(M5:M11)</f>
        <v>34023.3</v>
      </c>
    </row>
    <row r="14" ht="12.75">
      <c r="A14" t="s">
        <v>85</v>
      </c>
    </row>
    <row r="15" spans="1:13" ht="12.75">
      <c r="A15" t="s">
        <v>95</v>
      </c>
      <c r="B15" s="6">
        <f>'Balance Sheet'!B13-'Balance Sheet'!C13-B16</f>
        <v>-17996</v>
      </c>
      <c r="C15" s="6">
        <f>'Balance Sheet'!C13-'Balance Sheet'!D13-C16</f>
        <v>-16500</v>
      </c>
      <c r="D15" s="6">
        <f>'Balance Sheet'!D13-'Balance Sheet'!E13-D16</f>
        <v>-23300</v>
      </c>
      <c r="E15" s="6">
        <f>'Balance Sheet'!F13-'Balance Sheet'!G13-E16</f>
        <v>-1541.300000000003</v>
      </c>
      <c r="F15" s="6">
        <f>'Balance Sheet'!G13-'Balance Sheet'!H13-F16</f>
        <v>-23154.59999999999</v>
      </c>
      <c r="G15" s="6">
        <f>'Balance Sheet'!H13-'Balance Sheet'!I13-G16</f>
        <v>-23339.800000000003</v>
      </c>
      <c r="H15" s="6">
        <f>'Balance Sheet'!J13-'Balance Sheet'!K13-H16</f>
        <v>0</v>
      </c>
      <c r="I15" s="6">
        <f>'Balance Sheet'!K13-'Balance Sheet'!L13-I16</f>
        <v>0</v>
      </c>
      <c r="J15" s="6">
        <v>0</v>
      </c>
      <c r="K15" s="6">
        <f aca="true" t="shared" si="4" ref="K15:M19">B15+E15-H15</f>
        <v>-19537.300000000003</v>
      </c>
      <c r="L15" s="6">
        <f t="shared" si="4"/>
        <v>-39654.59999999999</v>
      </c>
      <c r="M15" s="6">
        <f t="shared" si="4"/>
        <v>-46639.8</v>
      </c>
    </row>
    <row r="16" spans="1:13" ht="12.75">
      <c r="A16" t="s">
        <v>94</v>
      </c>
      <c r="B16" s="2">
        <v>5254</v>
      </c>
      <c r="C16" s="2">
        <v>0</v>
      </c>
      <c r="D16" s="2">
        <v>7567</v>
      </c>
      <c r="E16" s="2">
        <v>501</v>
      </c>
      <c r="F16" s="2">
        <v>1236</v>
      </c>
      <c r="G16" s="2">
        <v>789</v>
      </c>
      <c r="H16" s="2">
        <v>0</v>
      </c>
      <c r="I16" s="2">
        <v>0</v>
      </c>
      <c r="J16" s="2">
        <v>0</v>
      </c>
      <c r="K16" s="6">
        <f t="shared" si="4"/>
        <v>5755</v>
      </c>
      <c r="L16" s="6">
        <f t="shared" si="4"/>
        <v>1236</v>
      </c>
      <c r="M16" s="6">
        <f t="shared" si="4"/>
        <v>8356</v>
      </c>
    </row>
    <row r="17" spans="1:13" ht="12.75">
      <c r="A17" t="s">
        <v>101</v>
      </c>
      <c r="B17" s="2">
        <f>'Balance Sheet'!B17-'Balance Sheet'!C17-B18</f>
        <v>-202</v>
      </c>
      <c r="C17" s="2">
        <f>'Balance Sheet'!C17-'Balance Sheet'!D17-C18</f>
        <v>-17010</v>
      </c>
      <c r="D17" s="2">
        <f>'Balance Sheet'!D17-'Balance Sheet'!E17-D18</f>
        <v>-4600</v>
      </c>
      <c r="E17" s="2">
        <f>'Balance Sheet'!F17-'Balance Sheet'!G17-E18</f>
        <v>0</v>
      </c>
      <c r="F17" s="2">
        <f>'Balance Sheet'!G17-'Balance Sheet'!H17-F18</f>
        <v>0</v>
      </c>
      <c r="G17" s="2">
        <f>'Balance Sheet'!H17-'Balance Sheet'!I17-G18</f>
        <v>0</v>
      </c>
      <c r="H17" s="2">
        <f>'Balance Sheet'!J17-'Balance Sheet'!K17-H18</f>
        <v>0</v>
      </c>
      <c r="I17" s="2">
        <f>'Balance Sheet'!K17-'Balance Sheet'!L17-I18</f>
        <v>0</v>
      </c>
      <c r="J17" s="2">
        <v>0</v>
      </c>
      <c r="K17" s="6">
        <f t="shared" si="4"/>
        <v>-202</v>
      </c>
      <c r="L17" s="6">
        <f t="shared" si="4"/>
        <v>-17010</v>
      </c>
      <c r="M17" s="6">
        <f t="shared" si="4"/>
        <v>-4600</v>
      </c>
    </row>
    <row r="18" spans="1:13" ht="12.75">
      <c r="A18" t="s">
        <v>102</v>
      </c>
      <c r="B18" s="2">
        <v>500</v>
      </c>
      <c r="C18" s="2">
        <v>552</v>
      </c>
      <c r="D18" s="2">
        <v>765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6">
        <f t="shared" si="4"/>
        <v>500</v>
      </c>
      <c r="L18" s="6">
        <f t="shared" si="4"/>
        <v>552</v>
      </c>
      <c r="M18" s="6">
        <f t="shared" si="4"/>
        <v>765</v>
      </c>
    </row>
    <row r="19" spans="1:13" ht="12.75">
      <c r="A19" t="s">
        <v>97</v>
      </c>
      <c r="B19" s="12">
        <f>'Balance Sheet'!B19-'Balance Sheet'!C19</f>
        <v>-393</v>
      </c>
      <c r="C19" s="12">
        <f>'Balance Sheet'!C19-'Balance Sheet'!D19</f>
        <v>-130</v>
      </c>
      <c r="D19" s="12">
        <f>'Balance Sheet'!D19-'Balance Sheet'!E19</f>
        <v>-541</v>
      </c>
      <c r="E19" s="12">
        <f>'Balance Sheet'!F19-'Balance Sheet'!G19</f>
        <v>-11</v>
      </c>
      <c r="F19" s="12">
        <f>'Balance Sheet'!G19-'Balance Sheet'!H19</f>
        <v>-330</v>
      </c>
      <c r="G19" s="12">
        <f>'Balance Sheet'!H19-'Balance Sheet'!I19</f>
        <v>-3769</v>
      </c>
      <c r="H19" s="12">
        <f>'Balance Sheet'!J19-'Balance Sheet'!K19</f>
        <v>0</v>
      </c>
      <c r="I19" s="12">
        <f>'Balance Sheet'!K19-'Balance Sheet'!L19</f>
        <v>0</v>
      </c>
      <c r="J19" s="12">
        <v>0</v>
      </c>
      <c r="K19" s="12">
        <f t="shared" si="4"/>
        <v>-404</v>
      </c>
      <c r="L19" s="12">
        <f t="shared" si="4"/>
        <v>-460</v>
      </c>
      <c r="M19" s="12">
        <f t="shared" si="4"/>
        <v>-4310</v>
      </c>
    </row>
    <row r="20" spans="1:13" ht="12.75">
      <c r="A20" t="s">
        <v>90</v>
      </c>
      <c r="B20" s="6">
        <f aca="true" t="shared" si="5" ref="B20:M20">SUM(B15:B19)</f>
        <v>-12837</v>
      </c>
      <c r="C20" s="6">
        <f t="shared" si="5"/>
        <v>-33088</v>
      </c>
      <c r="D20" s="6">
        <f t="shared" si="5"/>
        <v>-20109</v>
      </c>
      <c r="E20" s="6">
        <f t="shared" si="5"/>
        <v>-1051.300000000003</v>
      </c>
      <c r="F20" s="6">
        <f t="shared" si="5"/>
        <v>-22248.59999999999</v>
      </c>
      <c r="G20" s="6">
        <f t="shared" si="5"/>
        <v>-26319.800000000003</v>
      </c>
      <c r="H20" s="6">
        <f t="shared" si="5"/>
        <v>0</v>
      </c>
      <c r="I20" s="6">
        <f t="shared" si="5"/>
        <v>0</v>
      </c>
      <c r="J20" s="6">
        <f t="shared" si="5"/>
        <v>0</v>
      </c>
      <c r="K20" s="6">
        <f t="shared" si="5"/>
        <v>-13888.300000000003</v>
      </c>
      <c r="L20" s="6">
        <f t="shared" si="5"/>
        <v>-55336.59999999999</v>
      </c>
      <c r="M20" s="6">
        <f t="shared" si="5"/>
        <v>-46428.8</v>
      </c>
    </row>
    <row r="22" ht="12.75">
      <c r="A22" t="s">
        <v>92</v>
      </c>
    </row>
    <row r="23" spans="1:13" ht="12.75">
      <c r="A23" t="s">
        <v>86</v>
      </c>
      <c r="B23" s="6">
        <f>'Balance Sheet'!C34-'Balance Sheet'!B34-B24+'Balance Sheet'!C28-'Balance Sheet'!B28</f>
        <v>14500</v>
      </c>
      <c r="C23" s="6">
        <f>'Balance Sheet'!D34-'Balance Sheet'!C34-C24+'Balance Sheet'!D28-'Balance Sheet'!C28</f>
        <v>-6753</v>
      </c>
      <c r="D23" s="6">
        <f>'Balance Sheet'!E34-'Balance Sheet'!D34-D24+'Balance Sheet'!E28-'Balance Sheet'!D28</f>
        <v>2303</v>
      </c>
      <c r="E23" s="6">
        <f>'Balance Sheet'!G34-'Balance Sheet'!F34-E24+'Balance Sheet'!G28-'Balance Sheet'!F28</f>
        <v>-5344.949999999997</v>
      </c>
      <c r="F23" s="6">
        <f>'Balance Sheet'!H34-'Balance Sheet'!G34-F24+'Balance Sheet'!H28-'Balance Sheet'!G28</f>
        <v>16976.949999999997</v>
      </c>
      <c r="G23" s="6">
        <f>'Balance Sheet'!I34-'Balance Sheet'!H34-G24+'Balance Sheet'!I28-'Balance Sheet'!H28</f>
        <v>13391</v>
      </c>
      <c r="H23" s="6">
        <f>'Balance Sheet'!K34-'Balance Sheet'!J34-H24+'Balance Sheet'!K28-'Balance Sheet'!J28</f>
        <v>0</v>
      </c>
      <c r="I23" s="6">
        <f>'Balance Sheet'!L34-'Balance Sheet'!K34-I24+'Balance Sheet'!L28-'Balance Sheet'!K28</f>
        <v>0</v>
      </c>
      <c r="J23" s="6">
        <v>0</v>
      </c>
      <c r="K23" s="6">
        <f aca="true" t="shared" si="6" ref="K23:M26">B23+E23-H23</f>
        <v>9155.050000000003</v>
      </c>
      <c r="L23" s="6">
        <f t="shared" si="6"/>
        <v>10223.949999999997</v>
      </c>
      <c r="M23" s="6">
        <f t="shared" si="6"/>
        <v>15694</v>
      </c>
    </row>
    <row r="24" spans="1:13" ht="12.75">
      <c r="A24" t="s">
        <v>87</v>
      </c>
      <c r="B24" s="2">
        <f>-1578-40</f>
        <v>-1618</v>
      </c>
      <c r="C24" s="2">
        <f>-1578-40</f>
        <v>-1618</v>
      </c>
      <c r="D24" s="2">
        <f>-1578-40</f>
        <v>-1618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6">
        <f t="shared" si="6"/>
        <v>-1618</v>
      </c>
      <c r="L24" s="6">
        <f t="shared" si="6"/>
        <v>-1618</v>
      </c>
      <c r="M24" s="6">
        <f t="shared" si="6"/>
        <v>-1618</v>
      </c>
    </row>
    <row r="25" spans="1:13" ht="12.75">
      <c r="A25" t="s">
        <v>88</v>
      </c>
      <c r="B25" s="6">
        <f>'Balance Sheet'!C39+'Balance Sheet'!C40-'Balance Sheet'!B39-'Balance Sheet'!B40</f>
        <v>0</v>
      </c>
      <c r="C25" s="6">
        <f>'Balance Sheet'!D39+'Balance Sheet'!D40-'Balance Sheet'!C39-'Balance Sheet'!C40</f>
        <v>0</v>
      </c>
      <c r="D25" s="6">
        <f>'Balance Sheet'!E39+'Balance Sheet'!E40-'Balance Sheet'!D39-'Balance Sheet'!D40</f>
        <v>0</v>
      </c>
      <c r="E25" s="6">
        <f>'Balance Sheet'!G39+'Balance Sheet'!G40-'Balance Sheet'!F39-'Balance Sheet'!F40</f>
        <v>0</v>
      </c>
      <c r="F25" s="6">
        <f>'Balance Sheet'!H39+'Balance Sheet'!H40-'Balance Sheet'!G39-'Balance Sheet'!G40</f>
        <v>0</v>
      </c>
      <c r="G25" s="6">
        <f>'Balance Sheet'!I39+'Balance Sheet'!I40-'Balance Sheet'!H39-'Balance Sheet'!H40</f>
        <v>0</v>
      </c>
      <c r="H25" s="6">
        <f>'Balance Sheet'!K39+'Balance Sheet'!K40-'Balance Sheet'!J39-'Balance Sheet'!J40</f>
        <v>0</v>
      </c>
      <c r="I25" s="6">
        <f>'Balance Sheet'!L39+'Balance Sheet'!L40-'Balance Sheet'!K39-'Balance Sheet'!K40</f>
        <v>0</v>
      </c>
      <c r="J25" s="6">
        <v>0</v>
      </c>
      <c r="K25" s="6">
        <f t="shared" si="6"/>
        <v>0</v>
      </c>
      <c r="L25" s="6">
        <f t="shared" si="6"/>
        <v>0</v>
      </c>
      <c r="M25" s="6">
        <f t="shared" si="6"/>
        <v>0</v>
      </c>
    </row>
    <row r="26" spans="1:13" ht="12.75">
      <c r="A26" t="s">
        <v>89</v>
      </c>
      <c r="B26" s="12">
        <f>-'Income Statement'!B36-'Income Statement'!B34</f>
        <v>-5027</v>
      </c>
      <c r="C26" s="12">
        <f>-'Income Statement'!C36-'Income Statement'!C34</f>
        <v>-10259.5</v>
      </c>
      <c r="D26" s="12">
        <f>-'Income Statement'!D36-'Income Statement'!D34</f>
        <v>-20938</v>
      </c>
      <c r="E26" s="12">
        <f>-'Income Statement'!F36-'Income Statement'!F34</f>
        <v>0</v>
      </c>
      <c r="F26" s="12">
        <f>-'Income Statement'!G36-'Income Statement'!G34</f>
        <v>0</v>
      </c>
      <c r="G26" s="12">
        <f>-'Income Statement'!H36-'Income Statement'!H34</f>
        <v>0</v>
      </c>
      <c r="H26" s="12">
        <f>-'Income Statement'!J36-'Income Statement'!J34</f>
        <v>0</v>
      </c>
      <c r="I26" s="12">
        <f>-'Income Statement'!K36-'Income Statement'!K34</f>
        <v>0</v>
      </c>
      <c r="J26" s="12">
        <f>-'Income Statement'!L36-'Income Statement'!L34</f>
        <v>0</v>
      </c>
      <c r="K26" s="12">
        <f t="shared" si="6"/>
        <v>-5027</v>
      </c>
      <c r="L26" s="12">
        <f t="shared" si="6"/>
        <v>-10259.5</v>
      </c>
      <c r="M26" s="12">
        <f t="shared" si="6"/>
        <v>-20938</v>
      </c>
    </row>
    <row r="27" spans="1:13" ht="12.75">
      <c r="A27" t="s">
        <v>93</v>
      </c>
      <c r="B27" s="6">
        <f>SUM(B23:B26)</f>
        <v>7855</v>
      </c>
      <c r="C27" s="6">
        <f aca="true" t="shared" si="7" ref="C27:H27">SUM(C23:C26)</f>
        <v>-18630.5</v>
      </c>
      <c r="D27" s="6">
        <f t="shared" si="7"/>
        <v>-20253</v>
      </c>
      <c r="E27" s="6">
        <f t="shared" si="7"/>
        <v>-5344.949999999997</v>
      </c>
      <c r="F27" s="6">
        <f t="shared" si="7"/>
        <v>16976.949999999997</v>
      </c>
      <c r="G27" s="6">
        <f t="shared" si="7"/>
        <v>13391</v>
      </c>
      <c r="H27" s="6">
        <f t="shared" si="7"/>
        <v>0</v>
      </c>
      <c r="I27" s="6">
        <f>SUM(I23:I26)</f>
        <v>0</v>
      </c>
      <c r="J27" s="6">
        <f>SUM(J23:J26)</f>
        <v>0</v>
      </c>
      <c r="K27" s="6">
        <f>SUM(K23:K26)</f>
        <v>2510.050000000003</v>
      </c>
      <c r="L27" s="6">
        <f>SUM(L23:L26)</f>
        <v>-1653.550000000003</v>
      </c>
      <c r="M27" s="6">
        <f>SUM(M23:M26)</f>
        <v>-6862</v>
      </c>
    </row>
    <row r="29" spans="1:13" ht="12.75">
      <c r="A29" t="s">
        <v>98</v>
      </c>
      <c r="B29" s="6">
        <f aca="true" t="shared" si="8" ref="B29:G29">B12+B20+B27</f>
        <v>-3130</v>
      </c>
      <c r="C29" s="6">
        <f t="shared" si="8"/>
        <v>-704</v>
      </c>
      <c r="D29" s="6">
        <f t="shared" si="8"/>
        <v>-17743.5</v>
      </c>
      <c r="E29" s="6">
        <f t="shared" si="8"/>
        <v>-1177</v>
      </c>
      <c r="F29" s="6">
        <f t="shared" si="8"/>
        <v>3671.0000000000055</v>
      </c>
      <c r="G29" s="6">
        <f t="shared" si="8"/>
        <v>-1524.0000000000036</v>
      </c>
      <c r="H29" s="6">
        <f>H12+H20+H27</f>
        <v>0</v>
      </c>
      <c r="I29" s="6">
        <f>I12+I20+I27</f>
        <v>0</v>
      </c>
      <c r="J29" s="6">
        <f>J12+J20+J27</f>
        <v>0</v>
      </c>
      <c r="K29" s="6">
        <f aca="true" t="shared" si="9" ref="K29:M31">B29+E29-H29</f>
        <v>-4307</v>
      </c>
      <c r="L29" s="6">
        <f t="shared" si="9"/>
        <v>2967.0000000000055</v>
      </c>
      <c r="M29" s="6">
        <f t="shared" si="9"/>
        <v>-19267.500000000004</v>
      </c>
    </row>
    <row r="30" spans="1:13" ht="12.75">
      <c r="A30" t="s">
        <v>99</v>
      </c>
      <c r="B30" s="12">
        <f>'Balance Sheet'!B6+'Balance Sheet'!B7</f>
        <v>56311</v>
      </c>
      <c r="C30" s="12">
        <f>'Balance Sheet'!C6+'Balance Sheet'!C7</f>
        <v>53181</v>
      </c>
      <c r="D30" s="12">
        <f>'Balance Sheet'!D6+'Balance Sheet'!D7</f>
        <v>52477</v>
      </c>
      <c r="E30" s="12">
        <f>'Balance Sheet'!F6+'Balance Sheet'!F7</f>
        <v>3125</v>
      </c>
      <c r="F30" s="12">
        <f>'Balance Sheet'!G6+'Balance Sheet'!G7</f>
        <v>1948</v>
      </c>
      <c r="G30" s="12">
        <f>'Balance Sheet'!H6+'Balance Sheet'!H7</f>
        <v>5619</v>
      </c>
      <c r="H30" s="12">
        <f>'Balance Sheet'!J6+'Balance Sheet'!J7</f>
        <v>0</v>
      </c>
      <c r="I30" s="12">
        <f>'Balance Sheet'!K6+'Balance Sheet'!K7</f>
        <v>0</v>
      </c>
      <c r="J30" s="12">
        <f>'Balance Sheet'!L6+'Balance Sheet'!L7</f>
        <v>0</v>
      </c>
      <c r="K30" s="12">
        <f t="shared" si="9"/>
        <v>59436</v>
      </c>
      <c r="L30" s="12">
        <f t="shared" si="9"/>
        <v>55129</v>
      </c>
      <c r="M30" s="12">
        <f t="shared" si="9"/>
        <v>58096</v>
      </c>
    </row>
    <row r="31" spans="1:13" ht="12.75">
      <c r="A31" t="s">
        <v>100</v>
      </c>
      <c r="B31" s="6">
        <f>B29+B30</f>
        <v>53181</v>
      </c>
      <c r="C31" s="6">
        <f aca="true" t="shared" si="10" ref="C31:H31">C29+C30</f>
        <v>52477</v>
      </c>
      <c r="D31" s="6">
        <f t="shared" si="10"/>
        <v>34733.5</v>
      </c>
      <c r="E31" s="6">
        <f t="shared" si="10"/>
        <v>1948</v>
      </c>
      <c r="F31" s="6">
        <f t="shared" si="10"/>
        <v>5619.0000000000055</v>
      </c>
      <c r="G31" s="6">
        <f t="shared" si="10"/>
        <v>4094.9999999999964</v>
      </c>
      <c r="H31" s="6">
        <f t="shared" si="10"/>
        <v>0</v>
      </c>
      <c r="I31" s="6">
        <f>I29+I30</f>
        <v>0</v>
      </c>
      <c r="J31" s="6">
        <f>J29+J30</f>
        <v>0</v>
      </c>
      <c r="K31" s="6">
        <f t="shared" si="9"/>
        <v>55129</v>
      </c>
      <c r="L31" s="6">
        <f t="shared" si="9"/>
        <v>58096.00000000001</v>
      </c>
      <c r="M31" s="6">
        <f t="shared" si="9"/>
        <v>38828.5</v>
      </c>
    </row>
    <row r="32" spans="2:13" ht="12.75">
      <c r="B32" s="6"/>
      <c r="C32" s="6"/>
      <c r="D32" s="6"/>
      <c r="E32" s="6"/>
      <c r="F32" s="6"/>
      <c r="G32" s="6"/>
      <c r="K32" s="6"/>
      <c r="L32" s="6"/>
      <c r="M32" s="6"/>
    </row>
  </sheetData>
  <sheetProtection/>
  <mergeCells count="4">
    <mergeCell ref="B1:D1"/>
    <mergeCell ref="E1:G1"/>
    <mergeCell ref="H1:J1"/>
    <mergeCell ref="K1:M1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Apollo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whberry</dc:creator>
  <cp:keywords/>
  <dc:description/>
  <cp:lastModifiedBy>analarson</cp:lastModifiedBy>
  <cp:lastPrinted>2006-07-20T21:06:25Z</cp:lastPrinted>
  <dcterms:created xsi:type="dcterms:W3CDTF">2006-07-19T22:07:26Z</dcterms:created>
  <dcterms:modified xsi:type="dcterms:W3CDTF">2009-04-27T05:20:32Z</dcterms:modified>
  <cp:category/>
  <cp:version/>
  <cp:contentType/>
  <cp:contentStatus/>
</cp:coreProperties>
</file>