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360" windowHeight="12405" firstSheet="1" activeTab="8"/>
  </bookViews>
  <sheets>
    <sheet name="Income Statement 2006" sheetId="1" r:id="rId1"/>
    <sheet name="Income Statement 2005" sheetId="2" r:id="rId2"/>
    <sheet name="Rooms" sheetId="3" r:id="rId3"/>
    <sheet name="F_B" sheetId="4" r:id="rId4"/>
    <sheet name="Other" sheetId="5" r:id="rId5"/>
    <sheet name="Cost Centers" sheetId="6" r:id="rId6"/>
    <sheet name="Other Data" sheetId="7" r:id="rId7"/>
    <sheet name="Changes" sheetId="8" r:id="rId8"/>
    <sheet name="New Cost Centers" sheetId="9" r:id="rId9"/>
  </sheets>
  <definedNames/>
  <calcPr fullCalcOnLoad="1"/>
</workbook>
</file>

<file path=xl/sharedStrings.xml><?xml version="1.0" encoding="utf-8"?>
<sst xmlns="http://schemas.openxmlformats.org/spreadsheetml/2006/main" count="605" uniqueCount="293">
  <si>
    <t>Bentley Hotel</t>
  </si>
  <si>
    <t>Income Statement, 2006</t>
  </si>
  <si>
    <t>Total Hotel</t>
  </si>
  <si>
    <t>Rooms</t>
  </si>
  <si>
    <t>F&amp;B</t>
  </si>
  <si>
    <t>Telephone</t>
  </si>
  <si>
    <t>Parking</t>
  </si>
  <si>
    <t>Other</t>
  </si>
  <si>
    <t>Revenue</t>
  </si>
  <si>
    <t>Management Fee</t>
  </si>
  <si>
    <t>Replacement Reserve</t>
  </si>
  <si>
    <t>Income Statement, 2005</t>
  </si>
  <si>
    <t>Rooms Segment</t>
  </si>
  <si>
    <t>Available rooms</t>
  </si>
  <si>
    <t>Occupancy</t>
  </si>
  <si>
    <t>Rooms occupied</t>
  </si>
  <si>
    <t>Average rate</t>
  </si>
  <si>
    <t>REVPAR</t>
  </si>
  <si>
    <t>Front Desk:</t>
  </si>
  <si>
    <t>Payroll</t>
  </si>
  <si>
    <t>Cable Television</t>
  </si>
  <si>
    <t>Decorations</t>
  </si>
  <si>
    <t>Guest Relations</t>
  </si>
  <si>
    <t>This item is mainly gifts for VIP guests</t>
  </si>
  <si>
    <t>Guest Relocation</t>
  </si>
  <si>
    <t>Costs to relocate guests for whom promised reservations were not available</t>
  </si>
  <si>
    <t>Travel and Development</t>
  </si>
  <si>
    <t>Reservation Desk</t>
  </si>
  <si>
    <t>Software Licenses</t>
  </si>
  <si>
    <t>Supplies</t>
  </si>
  <si>
    <t>Travel Agent Commissions</t>
  </si>
  <si>
    <t>Uniforms and Laundering</t>
  </si>
  <si>
    <t>Miscellaneous</t>
  </si>
  <si>
    <t>Housekeeping:</t>
  </si>
  <si>
    <t>Linen</t>
  </si>
  <si>
    <t>Loss and Damage</t>
  </si>
  <si>
    <t>Newspaper</t>
  </si>
  <si>
    <t>Allocations:</t>
  </si>
  <si>
    <t>Laundry</t>
  </si>
  <si>
    <t>Pool A</t>
  </si>
  <si>
    <t>Pool B</t>
  </si>
  <si>
    <t>Total expenses</t>
  </si>
  <si>
    <t>Food and Beverage Segment</t>
  </si>
  <si>
    <t>Food Total</t>
  </si>
  <si>
    <t>Banquets</t>
  </si>
  <si>
    <t>Oak Room</t>
  </si>
  <si>
    <t>Carnival Lounge</t>
  </si>
  <si>
    <t>Room Service</t>
  </si>
  <si>
    <t>Minibar</t>
  </si>
  <si>
    <t>Food Revenue</t>
  </si>
  <si>
    <t>Beverage Revenue</t>
  </si>
  <si>
    <t>Other Banquet Revenue</t>
  </si>
  <si>
    <t>Expenses:</t>
  </si>
  <si>
    <t>Audio/Visual Contractors</t>
  </si>
  <si>
    <t>Beverage</t>
  </si>
  <si>
    <t>China, Glass, Silver</t>
  </si>
  <si>
    <t>Decoration</t>
  </si>
  <si>
    <t>Entertainment</t>
  </si>
  <si>
    <t>Food cost: Minibar</t>
  </si>
  <si>
    <t>Guest comps</t>
  </si>
  <si>
    <t>Kitchen</t>
  </si>
  <si>
    <t>Kitchen variance</t>
  </si>
  <si>
    <t>Licenses and Permits</t>
  </si>
  <si>
    <t>Printing</t>
  </si>
  <si>
    <t xml:space="preserve">Pool A </t>
  </si>
  <si>
    <t>Profit/Loss</t>
  </si>
  <si>
    <t>Other Banquet Revenue:</t>
  </si>
  <si>
    <t>Audio/Visual</t>
  </si>
  <si>
    <t>Room Rental</t>
  </si>
  <si>
    <t>Service Charges</t>
  </si>
  <si>
    <t>Kitchen:</t>
  </si>
  <si>
    <t>Kitchen costs are allocated using a standard cost system.</t>
  </si>
  <si>
    <t>Food Cost</t>
  </si>
  <si>
    <t>Each dish has a standard, predetermined cost for ingredients,</t>
  </si>
  <si>
    <t>Contract Service</t>
  </si>
  <si>
    <t>labor, and overhead, and is charged to the selling venue on this</t>
  </si>
  <si>
    <t>Licences and Permits</t>
  </si>
  <si>
    <t>basis.  The variance is the amount by which actual costs</t>
  </si>
  <si>
    <t>Night Cleaning</t>
  </si>
  <si>
    <t>exceeded standard costs.</t>
  </si>
  <si>
    <t>Pool A allocation</t>
  </si>
  <si>
    <t>Allocation Out:</t>
  </si>
  <si>
    <t>Comp/Promo</t>
  </si>
  <si>
    <t>Variance</t>
  </si>
  <si>
    <t>Allocation of Comp/Promo</t>
  </si>
  <si>
    <t>Other Segments</t>
  </si>
  <si>
    <t>Revenues:</t>
  </si>
  <si>
    <t>Internet Room Surcharges</t>
  </si>
  <si>
    <t>Banquet Internet Charges</t>
  </si>
  <si>
    <t>Local Phone</t>
  </si>
  <si>
    <t>Long-distance Phone</t>
  </si>
  <si>
    <t>Internet Cost</t>
  </si>
  <si>
    <t>Long-distance Cost</t>
  </si>
  <si>
    <t>Local Telephone Lines</t>
  </si>
  <si>
    <t>Service Contracts</t>
  </si>
  <si>
    <t>Allocation, Pool A</t>
  </si>
  <si>
    <t>Allocation, Pool B</t>
  </si>
  <si>
    <t>Revenues</t>
  </si>
  <si>
    <t>Contract Services</t>
  </si>
  <si>
    <t>Employee Café</t>
  </si>
  <si>
    <t>Insurance and Damages</t>
  </si>
  <si>
    <t>Property Tax</t>
  </si>
  <si>
    <t>Other Income Segment</t>
  </si>
  <si>
    <t>Guest Services</t>
  </si>
  <si>
    <t>Note: customers' laundry is not done in house.</t>
  </si>
  <si>
    <t>Valet</t>
  </si>
  <si>
    <t>Movie Rental</t>
  </si>
  <si>
    <t>Fitness/pool fees</t>
  </si>
  <si>
    <t>Other Income</t>
  </si>
  <si>
    <t>Forfeited Deposits</t>
  </si>
  <si>
    <t>Deficiencies</t>
  </si>
  <si>
    <t>Rooms or banquet meals paid for by convention/banquet customers to meet guaranteed level of rooms/meals</t>
  </si>
  <si>
    <t>No Shows</t>
  </si>
  <si>
    <t>Shop Lease</t>
  </si>
  <si>
    <t>Total revenue</t>
  </si>
  <si>
    <t>Cost Centers</t>
  </si>
  <si>
    <t xml:space="preserve">Employee Café: </t>
  </si>
  <si>
    <t>Costs:</t>
  </si>
  <si>
    <t>Food/beverage</t>
  </si>
  <si>
    <t>Allocation:</t>
  </si>
  <si>
    <t>A &amp; G</t>
  </si>
  <si>
    <t>Note:  allocation of employee café is based on 2002 study of actual</t>
  </si>
  <si>
    <t xml:space="preserve">Food </t>
  </si>
  <si>
    <t xml:space="preserve">usage done by an outside consulting firm.  </t>
  </si>
  <si>
    <t>Front Desk</t>
  </si>
  <si>
    <t>The allocation is included in payroll of affected departments.</t>
  </si>
  <si>
    <t>Housekeeping</t>
  </si>
  <si>
    <t>Marketing</t>
  </si>
  <si>
    <t>Purchasing</t>
  </si>
  <si>
    <t>R &amp; M</t>
  </si>
  <si>
    <t>Overhead Pool A</t>
  </si>
  <si>
    <t>Overhead pool A is allocated based on square footage:</t>
  </si>
  <si>
    <t>Repairs and Maintenance:</t>
  </si>
  <si>
    <t>Administration</t>
  </si>
  <si>
    <t>Banquet marketing</t>
  </si>
  <si>
    <t>Elevator Service Contract</t>
  </si>
  <si>
    <t>Banquet support</t>
  </si>
  <si>
    <t>Equipment Service Contracts</t>
  </si>
  <si>
    <t>Pest Control</t>
  </si>
  <si>
    <t>City Club</t>
  </si>
  <si>
    <t>Tools</t>
  </si>
  <si>
    <t>Front desk/ lobby</t>
  </si>
  <si>
    <t>Waste Removal</t>
  </si>
  <si>
    <t>Parts and Materials:</t>
  </si>
  <si>
    <t xml:space="preserve">Lodging </t>
  </si>
  <si>
    <t xml:space="preserve">   AC/Heating</t>
  </si>
  <si>
    <t>Lodging marketing</t>
  </si>
  <si>
    <t xml:space="preserve">   Building and Electrical</t>
  </si>
  <si>
    <t xml:space="preserve">   Carpet/drapery/paint</t>
  </si>
  <si>
    <t xml:space="preserve">Purchasing </t>
  </si>
  <si>
    <t xml:space="preserve">   Grounds</t>
  </si>
  <si>
    <t>Shop</t>
  </si>
  <si>
    <t xml:space="preserve">   Laundry Equipment</t>
  </si>
  <si>
    <t xml:space="preserve">   Plumbing</t>
  </si>
  <si>
    <t xml:space="preserve">   Television</t>
  </si>
  <si>
    <t>Utilities:</t>
  </si>
  <si>
    <t>Electric</t>
  </si>
  <si>
    <t>Heat</t>
  </si>
  <si>
    <t>Water</t>
  </si>
  <si>
    <t>Insurance</t>
  </si>
  <si>
    <t>Security</t>
  </si>
  <si>
    <t>Total Pool A</t>
  </si>
  <si>
    <t>Overhead Pool B:</t>
  </si>
  <si>
    <t>Overhead Pool B is allocated based on total revenue</t>
  </si>
  <si>
    <t>Administration:</t>
  </si>
  <si>
    <t xml:space="preserve">Payroll </t>
  </si>
  <si>
    <t>Armored Car</t>
  </si>
  <si>
    <t>Lodging</t>
  </si>
  <si>
    <t>Audit and Legal</t>
  </si>
  <si>
    <t>Banquet</t>
  </si>
  <si>
    <t>Bad Checks</t>
  </si>
  <si>
    <t>Comp Room</t>
  </si>
  <si>
    <t>Carnival</t>
  </si>
  <si>
    <t>Credit and Collections</t>
  </si>
  <si>
    <t>Credit Card Fees</t>
  </si>
  <si>
    <t>Dues and Subscriptions</t>
  </si>
  <si>
    <t>IT Consulting</t>
  </si>
  <si>
    <t>Payroll Processing</t>
  </si>
  <si>
    <t>Personnel Development</t>
  </si>
  <si>
    <t>Travel</t>
  </si>
  <si>
    <t>Marketing:</t>
  </si>
  <si>
    <t>Direct Mail</t>
  </si>
  <si>
    <t>Media</t>
  </si>
  <si>
    <t>Postage</t>
  </si>
  <si>
    <t>Production and Printing</t>
  </si>
  <si>
    <t>Professional Fees</t>
  </si>
  <si>
    <t>Trade Show Fees</t>
  </si>
  <si>
    <t>Travel and Entertainment</t>
  </si>
  <si>
    <t>Purchasing:</t>
  </si>
  <si>
    <t>Total Pool B</t>
  </si>
  <si>
    <t>Laundry:</t>
  </si>
  <si>
    <t>Allocation from Pool A</t>
  </si>
  <si>
    <t>Allocation (based on actual usage of laundry):</t>
  </si>
  <si>
    <t>Food</t>
  </si>
  <si>
    <t>Other Data</t>
  </si>
  <si>
    <t>Average</t>
  </si>
  <si>
    <t>Revenue Breakdown</t>
  </si>
  <si>
    <t>Length of Stay</t>
  </si>
  <si>
    <t>Class Definition</t>
  </si>
  <si>
    <t>Corporate: Crews</t>
  </si>
  <si>
    <t>Airline flight crews</t>
  </si>
  <si>
    <t xml:space="preserve">  Rooms</t>
  </si>
  <si>
    <t xml:space="preserve">  ADR</t>
  </si>
  <si>
    <t>Corporate: Other</t>
  </si>
  <si>
    <t>Negotiated rates with large corporate clients</t>
  </si>
  <si>
    <t>Group</t>
  </si>
  <si>
    <t>Primarily conventions, also tour groups</t>
  </si>
  <si>
    <t>Leisure</t>
  </si>
  <si>
    <t>All other, including individual tourist and</t>
  </si>
  <si>
    <t>business travellers</t>
  </si>
  <si>
    <t>Average Rate</t>
  </si>
  <si>
    <t>Sq ft meeting space</t>
  </si>
  <si>
    <t>Key Competitors, 2006</t>
  </si>
  <si>
    <t>Eastin</t>
  </si>
  <si>
    <t>Marmot</t>
  </si>
  <si>
    <t>Shareabed</t>
  </si>
  <si>
    <t>Stilton</t>
  </si>
  <si>
    <t>2% of revenue</t>
  </si>
  <si>
    <t>$75/FTE HR fee</t>
  </si>
  <si>
    <t>IT fee</t>
  </si>
  <si>
    <t>expense reimbursement</t>
  </si>
  <si>
    <t>Note:  All payroll costs are traceable.  Payroll includes payroll taxes and fringe benefits of, on average, 80% of base pay.</t>
  </si>
  <si>
    <t>Avg Rate</t>
  </si>
  <si>
    <t>A/V should not be in food</t>
  </si>
  <si>
    <t>where are carnival lounge expenses</t>
  </si>
  <si>
    <t>why no city lounge?</t>
  </si>
  <si>
    <t>why no comps in lounge?  Bars usually have big comps.</t>
  </si>
  <si>
    <t>Pre change Laundry % of use</t>
  </si>
  <si>
    <t>Had to adjust for addition of Laundry Equipment repair.  Calculated original % of use and applied percentage to new gross.</t>
  </si>
  <si>
    <t>Moved kitchen equipment repairs cost from Pool A to F_B.</t>
  </si>
  <si>
    <t>Moved laundry equipment repair cost from Pool A to Laundry.</t>
  </si>
  <si>
    <t>Recalculated Laundry numbers allocated to F_B and Housekeeping based on original percentages.</t>
  </si>
  <si>
    <t>Allocation to Leisure for Campaign</t>
  </si>
  <si>
    <t>Deduct 150k from Marketing Pool to allocate to Leisure.</t>
  </si>
  <si>
    <t>Add 150k from Marketing Pool to Leisure.</t>
  </si>
  <si>
    <t>For Leisure</t>
  </si>
  <si>
    <t>Admin, which is not allocated</t>
  </si>
  <si>
    <t>Common and Other Non Allocable Costs</t>
  </si>
  <si>
    <t>Difference for Pool A, not allocated (Admin)</t>
  </si>
  <si>
    <t>Moved TV repair to under Rooms</t>
  </si>
  <si>
    <t>Admin serves all other departments but receives no services.</t>
  </si>
  <si>
    <t>Facilities</t>
  </si>
  <si>
    <t>Pool C Based on Percent of Revenue</t>
  </si>
  <si>
    <t>Overhead pool B is allocated based on square footage:</t>
  </si>
  <si>
    <t>Based on Payroll</t>
  </si>
  <si>
    <t>Based on Revenue</t>
  </si>
  <si>
    <t>Would be better to base on numbers of emps.</t>
  </si>
  <si>
    <t>R&amp;M</t>
  </si>
  <si>
    <t>Admin</t>
  </si>
  <si>
    <t>05 Payroll</t>
  </si>
  <si>
    <t>%</t>
  </si>
  <si>
    <t>Allocation</t>
  </si>
  <si>
    <t>06 Payroll</t>
  </si>
  <si>
    <t>Pool A Allocation</t>
  </si>
  <si>
    <t>Based on old study</t>
  </si>
  <si>
    <t>No Repairs and Maintenance Sq Ftg</t>
  </si>
  <si>
    <t>Pool B Allocation</t>
  </si>
  <si>
    <t>Total</t>
  </si>
  <si>
    <t>Pool C</t>
  </si>
  <si>
    <t>Comp Room from Admin</t>
  </si>
  <si>
    <t>Admin, which is not allocated (percent of Pool A and B)</t>
  </si>
  <si>
    <t>Dues and Subscriptions from Admin</t>
  </si>
  <si>
    <t>Sales Revenue</t>
  </si>
  <si>
    <t>Less Fixed expenses controlled by segment manager</t>
  </si>
  <si>
    <t>Profit margin controlled by segment manager</t>
  </si>
  <si>
    <t>Less Fixed expenses traceable to segment but controlled by others</t>
  </si>
  <si>
    <t>Segment proft margin</t>
  </si>
  <si>
    <t>Segment contribution margin</t>
  </si>
  <si>
    <t>Variable operating expenses</t>
  </si>
  <si>
    <t>Less common fixed expenses</t>
  </si>
  <si>
    <t>Total expenses in manager's control</t>
  </si>
  <si>
    <t>Total expenses not in manager's control</t>
  </si>
  <si>
    <t>Allocation from Pool B</t>
  </si>
  <si>
    <t>Laundry - Distributed based upon original % of total presented in case</t>
  </si>
  <si>
    <t>Fixed expense traceable but controlled by others</t>
  </si>
  <si>
    <t>Added City Club Sq Ft Expense</t>
  </si>
  <si>
    <t>NOTE That the restaurant and lounge are paying too much of the marketing as local advertising was cancelled and we don’t know how much that was.</t>
  </si>
  <si>
    <t>Kitchen Equipment Repairs</t>
  </si>
  <si>
    <t>Pool C Allocation</t>
  </si>
  <si>
    <t>Allocation, Pool C</t>
  </si>
  <si>
    <t>Expenses controlled by manager</t>
  </si>
  <si>
    <t>Kitchen Equipment</t>
  </si>
  <si>
    <t>Expenses  controlled by manager</t>
  </si>
  <si>
    <t>Traceble but controlled by others</t>
  </si>
  <si>
    <t>Traceable but controlled by others</t>
  </si>
  <si>
    <t>Net Income Before Income Tax</t>
  </si>
  <si>
    <t>Remove Administration from Cost Pool Allocation A and B and made common costs</t>
  </si>
  <si>
    <t>Took 1 staff from Room Service and Moved to Mini Bar</t>
  </si>
  <si>
    <t>Change cost Allocation Pools</t>
  </si>
  <si>
    <t>A - Items most costly related to employees (HR) and apportioned based on salary</t>
  </si>
  <si>
    <t>B - Facility related expenses with exception of property tax and insurance and based on square footatge</t>
  </si>
  <si>
    <t>C - Marketing, A/P related expenses and purchasing based on revenue</t>
  </si>
  <si>
    <t>Changed Income Statement to Segmented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</si>
</sst>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[Red]&quot;($&quot;#,##0.00\)"/>
    <numFmt numFmtId="165" formatCode="\$#,##0.00"/>
    <numFmt numFmtId="166" formatCode="0.0000000%"/>
    <numFmt numFmtId="167" formatCode="&quot;$&quot;#,##0.00"/>
    <numFmt numFmtId="168" formatCode="#,##0.00000000"/>
    <numFmt numFmtId="169" formatCode="0.00000000"/>
    <numFmt numFmtId="170" formatCode="0.000000000"/>
    <numFmt numFmtId="171" formatCode="#,##0.00;[Red]#,##0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64" fontId="3" fillId="3" borderId="0" xfId="39" applyNumberFormat="1" applyAlignment="1">
      <alignment/>
    </xf>
    <xf numFmtId="0" fontId="3" fillId="3" borderId="0" xfId="39" applyAlignment="1">
      <alignment/>
    </xf>
    <xf numFmtId="166" fontId="0" fillId="0" borderId="0" xfId="57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7" fillId="4" borderId="0" xfId="47" applyFill="1" applyAlignment="1">
      <alignment/>
    </xf>
    <xf numFmtId="0" fontId="7" fillId="4" borderId="0" xfId="47" applyFill="1" applyAlignment="1">
      <alignment horizontal="center"/>
    </xf>
    <xf numFmtId="3" fontId="7" fillId="4" borderId="0" xfId="47" applyNumberFormat="1" applyFill="1" applyAlignment="1">
      <alignment/>
    </xf>
    <xf numFmtId="10" fontId="7" fillId="4" borderId="0" xfId="47" applyNumberForma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9" fontId="0" fillId="0" borderId="0" xfId="0" applyNumberFormat="1" applyAlignment="1">
      <alignment/>
    </xf>
    <xf numFmtId="167" fontId="0" fillId="0" borderId="0" xfId="0" applyNumberFormat="1" applyAlignment="1">
      <alignment/>
    </xf>
    <xf numFmtId="37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3" fontId="7" fillId="4" borderId="0" xfId="47" applyNumberFormat="1" applyAlignment="1">
      <alignment/>
    </xf>
    <xf numFmtId="3" fontId="13" fillId="22" borderId="0" xfId="54" applyNumberForma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3" fillId="3" borderId="0" xfId="39" applyNumberFormat="1" applyAlignment="1">
      <alignment/>
    </xf>
    <xf numFmtId="0" fontId="0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26.421875" style="50" customWidth="1"/>
    <col min="2" max="2" width="6.00390625" style="0" customWidth="1"/>
    <col min="3" max="3" width="10.7109375" style="0" customWidth="1"/>
    <col min="4" max="4" width="11.421875" style="0" customWidth="1"/>
  </cols>
  <sheetData>
    <row r="1" ht="12.75">
      <c r="A1" s="56" t="s">
        <v>0</v>
      </c>
    </row>
    <row r="2" ht="12.75">
      <c r="A2" s="56" t="s">
        <v>1</v>
      </c>
    </row>
    <row r="5" spans="3:8" ht="12.75"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ht="15" customHeight="1">
      <c r="A6" s="50" t="s">
        <v>262</v>
      </c>
      <c r="C6" s="3">
        <f>SUM(D6:H6)</f>
        <v>39176884.08</v>
      </c>
      <c r="D6" s="3">
        <f>Rooms!E13</f>
        <v>27307689.08</v>
      </c>
      <c r="E6" s="3">
        <f>F_B!C9</f>
        <v>9355042</v>
      </c>
      <c r="F6" s="3">
        <f>Other!E13</f>
        <v>842483</v>
      </c>
      <c r="G6" s="3">
        <f>Other!E37</f>
        <v>1192332</v>
      </c>
      <c r="H6" s="3">
        <f>Other!E68</f>
        <v>479338</v>
      </c>
    </row>
    <row r="7" spans="1:8" ht="12.75">
      <c r="A7" s="50" t="s">
        <v>268</v>
      </c>
      <c r="C7" s="4">
        <f>SUM(D7:H7)</f>
        <v>19941761.66930638</v>
      </c>
      <c r="D7" s="4">
        <f>Rooms!E43</f>
        <v>10107341</v>
      </c>
      <c r="E7" s="4">
        <f>F_B!C29</f>
        <v>8348388.617306378</v>
      </c>
      <c r="F7" s="4">
        <f>Other!E21</f>
        <v>500379</v>
      </c>
      <c r="G7" s="4">
        <f>Other!E45</f>
        <v>880321.052</v>
      </c>
      <c r="H7" s="4">
        <f>Other!E74</f>
        <v>105332</v>
      </c>
    </row>
    <row r="8" spans="1:8" ht="12.75">
      <c r="A8" s="50" t="s">
        <v>267</v>
      </c>
      <c r="C8" s="3">
        <f>SUM(D8:H8)</f>
        <v>19235122.41069362</v>
      </c>
      <c r="D8" s="5">
        <f>D6-D7</f>
        <v>17200348.08</v>
      </c>
      <c r="E8" s="5">
        <f>E6-E7</f>
        <v>1006653.3826936223</v>
      </c>
      <c r="F8" s="5">
        <f>F6-F7</f>
        <v>342104</v>
      </c>
      <c r="G8" s="5">
        <f>G6-G7</f>
        <v>312010.948</v>
      </c>
      <c r="H8" s="5">
        <f>H6-H7</f>
        <v>374006</v>
      </c>
    </row>
    <row r="9" ht="38.25">
      <c r="A9" s="50" t="s">
        <v>263</v>
      </c>
    </row>
    <row r="10" spans="1:8" ht="25.5">
      <c r="A10" s="50" t="s">
        <v>264</v>
      </c>
      <c r="C10" s="3">
        <f>SUM(D10:H10)</f>
        <v>19235122.41069362</v>
      </c>
      <c r="D10" s="3">
        <f>D8-D9</f>
        <v>17200348.08</v>
      </c>
      <c r="E10" s="3">
        <f>E8-E9</f>
        <v>1006653.3826936223</v>
      </c>
      <c r="F10" s="3">
        <f>F8-F9</f>
        <v>342104</v>
      </c>
      <c r="G10" s="3">
        <f>G8-G9</f>
        <v>312010.948</v>
      </c>
      <c r="H10" s="3">
        <f>H8-H9</f>
        <v>374006</v>
      </c>
    </row>
    <row r="11" spans="1:8" ht="38.25">
      <c r="A11" s="50" t="s">
        <v>265</v>
      </c>
      <c r="C11" s="3">
        <f>SUM(D11:H11)</f>
        <v>11456492.916047044</v>
      </c>
      <c r="D11" s="3">
        <f>Rooms!E52</f>
        <v>9442996.428725231</v>
      </c>
      <c r="E11" s="3">
        <f>F_B!C37</f>
        <v>1685505.5253524617</v>
      </c>
      <c r="F11" s="3">
        <f>Other!E29</f>
        <v>131987.79418685095</v>
      </c>
      <c r="G11" s="3">
        <f>Other!E47</f>
        <v>131907.76420480234</v>
      </c>
      <c r="H11" s="3">
        <f>Other!E79</f>
        <v>64095.403577699064</v>
      </c>
    </row>
    <row r="12" spans="1:8" ht="12.75">
      <c r="A12" s="50" t="s">
        <v>266</v>
      </c>
      <c r="C12" s="3">
        <f>SUM(D12:H12)</f>
        <v>7778629.494646575</v>
      </c>
      <c r="D12" s="3">
        <f>D10-D11</f>
        <v>7757351.651274767</v>
      </c>
      <c r="E12" s="3">
        <f>E10-E11</f>
        <v>-678852.1426588395</v>
      </c>
      <c r="F12" s="3">
        <f>F10-F11</f>
        <v>210116.20581314905</v>
      </c>
      <c r="G12" s="3">
        <f>G10-G11</f>
        <v>180103.18379519763</v>
      </c>
      <c r="H12" s="3">
        <f>H10-H11</f>
        <v>309910.5964223009</v>
      </c>
    </row>
    <row r="13" spans="1:3" ht="15" customHeight="1">
      <c r="A13" s="50" t="s">
        <v>269</v>
      </c>
      <c r="C13" s="3">
        <f>'New Cost Centers'!E156</f>
        <v>2666798.236815513</v>
      </c>
    </row>
    <row r="14" spans="1:3" ht="15" customHeight="1">
      <c r="A14" s="50" t="s">
        <v>9</v>
      </c>
      <c r="C14" s="3">
        <f>'Other Data'!F45</f>
        <v>966793.6816</v>
      </c>
    </row>
    <row r="15" spans="1:3" ht="15" customHeight="1">
      <c r="A15" s="50" t="s">
        <v>10</v>
      </c>
      <c r="C15" s="4">
        <v>1643870</v>
      </c>
    </row>
    <row r="16" ht="15" customHeight="1"/>
    <row r="17" spans="1:3" ht="15" customHeight="1">
      <c r="A17" s="50" t="s">
        <v>285</v>
      </c>
      <c r="C17" s="5">
        <f>C12-C14-C15-C13</f>
        <v>2501167.5762310624</v>
      </c>
    </row>
    <row r="18" ht="12.75">
      <c r="C18" s="3"/>
    </row>
    <row r="24" ht="12.75">
      <c r="D24" s="6"/>
    </row>
  </sheetData>
  <sheetProtection/>
  <printOptions/>
  <pageMargins left="0.75" right="0.75" top="1" bottom="1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7.421875" style="0" customWidth="1"/>
    <col min="2" max="2" width="6.421875" style="0" customWidth="1"/>
    <col min="3" max="3" width="10.28125" style="0" customWidth="1"/>
    <col min="4" max="4" width="10.00390625" style="0" customWidth="1"/>
    <col min="5" max="5" width="10.140625" style="0" bestFit="1" customWidth="1"/>
  </cols>
  <sheetData>
    <row r="1" ht="12.75">
      <c r="A1" s="1" t="s">
        <v>0</v>
      </c>
    </row>
    <row r="2" ht="12.75">
      <c r="A2" s="1" t="s">
        <v>11</v>
      </c>
    </row>
    <row r="5" spans="3:8" ht="18" customHeight="1"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ht="18" customHeight="1">
      <c r="A6" s="50" t="s">
        <v>262</v>
      </c>
      <c r="C6" s="3">
        <f>SUM(D6:H6)</f>
        <v>39243500.04</v>
      </c>
      <c r="D6" s="3">
        <f>Rooms!C13</f>
        <v>27091264.04</v>
      </c>
      <c r="E6" s="3">
        <f>F_B!C56</f>
        <v>9380615</v>
      </c>
      <c r="F6" s="3">
        <f>Other!C13</f>
        <v>930804</v>
      </c>
      <c r="G6" s="3">
        <f>Other!C37</f>
        <v>1333431</v>
      </c>
      <c r="H6" s="3">
        <f>Other!C68</f>
        <v>507386</v>
      </c>
    </row>
    <row r="7" spans="1:8" ht="18" customHeight="1">
      <c r="A7" s="50" t="s">
        <v>268</v>
      </c>
      <c r="C7" s="4">
        <f>SUM(D7:H7)</f>
        <v>18773336.895772338</v>
      </c>
      <c r="D7" s="4">
        <f>Rooms!C43</f>
        <v>9117099</v>
      </c>
      <c r="E7" s="4">
        <f>F_B!C76</f>
        <v>8215873.467772338</v>
      </c>
      <c r="F7" s="4">
        <f>Other!C21</f>
        <v>515148</v>
      </c>
      <c r="G7" s="4">
        <f>Other!C45</f>
        <v>820312.428</v>
      </c>
      <c r="H7" s="4">
        <f>Other!C74</f>
        <v>104904</v>
      </c>
    </row>
    <row r="8" spans="1:8" ht="20.25" customHeight="1">
      <c r="A8" s="50" t="s">
        <v>267</v>
      </c>
      <c r="C8" s="3">
        <f>SUM(D8:H8)</f>
        <v>20470163.14422766</v>
      </c>
      <c r="D8" s="5">
        <f>D6-D7</f>
        <v>17974165.04</v>
      </c>
      <c r="E8" s="5">
        <f>E6-E7</f>
        <v>1164741.5322276624</v>
      </c>
      <c r="F8" s="5">
        <f>F6-F7</f>
        <v>415656</v>
      </c>
      <c r="G8" s="5">
        <f>G6-G7</f>
        <v>513118.57200000004</v>
      </c>
      <c r="H8" s="5">
        <f>H6-H7</f>
        <v>402482</v>
      </c>
    </row>
    <row r="9" spans="1:8" ht="33.75" customHeight="1">
      <c r="A9" s="50" t="s">
        <v>263</v>
      </c>
      <c r="C9" s="3"/>
      <c r="D9" s="5"/>
      <c r="E9" s="5"/>
      <c r="F9" s="5"/>
      <c r="G9" s="5"/>
      <c r="H9" s="5"/>
    </row>
    <row r="10" spans="1:8" ht="38.25" customHeight="1">
      <c r="A10" s="50" t="s">
        <v>264</v>
      </c>
      <c r="C10" s="3">
        <f>SUM(D10:H10)</f>
        <v>20470163.14422766</v>
      </c>
      <c r="D10" s="5">
        <f>D8-D9</f>
        <v>17974165.04</v>
      </c>
      <c r="E10" s="5">
        <f>E8-E9</f>
        <v>1164741.5322276624</v>
      </c>
      <c r="F10" s="5">
        <f>F8-F9</f>
        <v>415656</v>
      </c>
      <c r="G10" s="5">
        <f>G8-G9</f>
        <v>513118.57200000004</v>
      </c>
      <c r="H10" s="5">
        <f>H8-H9</f>
        <v>402482</v>
      </c>
    </row>
    <row r="11" spans="1:8" ht="43.5" customHeight="1">
      <c r="A11" s="50" t="s">
        <v>265</v>
      </c>
      <c r="C11" s="3">
        <f>SUM(D11:H11)</f>
        <v>10656626.366639534</v>
      </c>
      <c r="D11" s="5">
        <f>Rooms!C52</f>
        <v>8746675.444440749</v>
      </c>
      <c r="E11" s="5">
        <f>F_B!C84</f>
        <v>1571975.4284542012</v>
      </c>
      <c r="F11" s="5">
        <f>Other!C29</f>
        <v>136909.27220815083</v>
      </c>
      <c r="G11" s="5">
        <f>Other!C47</f>
        <v>137976.76066799797</v>
      </c>
      <c r="H11" s="5">
        <f>Other!C79</f>
        <v>63089.460868434355</v>
      </c>
    </row>
    <row r="12" spans="1:8" ht="18" customHeight="1">
      <c r="A12" s="50" t="s">
        <v>266</v>
      </c>
      <c r="C12" s="3">
        <f>SUM(D12:H12)</f>
        <v>9813536.777588129</v>
      </c>
      <c r="D12" s="5">
        <f>D10-D11</f>
        <v>9227489.59555925</v>
      </c>
      <c r="E12" s="5">
        <f>E10-E11</f>
        <v>-407233.8962265388</v>
      </c>
      <c r="F12" s="5">
        <f>F10-F11</f>
        <v>278746.7277918492</v>
      </c>
      <c r="G12" s="5">
        <f>G10-G11</f>
        <v>375141.81133200205</v>
      </c>
      <c r="H12" s="5">
        <f>H10-H11</f>
        <v>339392.53913156566</v>
      </c>
    </row>
    <row r="13" spans="1:8" ht="18" customHeight="1">
      <c r="A13" s="50" t="s">
        <v>269</v>
      </c>
      <c r="C13" s="3">
        <f>'New Cost Centers'!C156</f>
        <v>2570356.16558813</v>
      </c>
      <c r="D13" s="5"/>
      <c r="E13" s="5"/>
      <c r="F13" s="5"/>
      <c r="G13" s="5"/>
      <c r="H13" s="5"/>
    </row>
    <row r="14" spans="1:3" ht="18" customHeight="1">
      <c r="A14" s="50" t="s">
        <v>9</v>
      </c>
      <c r="C14" s="4">
        <f>'Other Data'!D45</f>
        <v>962211.0008</v>
      </c>
    </row>
    <row r="15" spans="1:3" ht="18" customHeight="1">
      <c r="A15" s="50" t="s">
        <v>10</v>
      </c>
      <c r="C15" s="4">
        <v>1597100</v>
      </c>
    </row>
    <row r="16" spans="1:3" ht="18" customHeight="1">
      <c r="A16" s="50"/>
      <c r="C16" s="4"/>
    </row>
    <row r="17" spans="1:5" ht="18" customHeight="1">
      <c r="A17" s="50" t="s">
        <v>285</v>
      </c>
      <c r="C17" s="5">
        <f>C12-C14-C15-C13</f>
        <v>4683869.611199999</v>
      </c>
      <c r="E17" s="3"/>
    </row>
    <row r="18" ht="18" customHeight="1">
      <c r="C18" s="3"/>
    </row>
    <row r="19" spans="3:5" ht="12.75">
      <c r="C19" s="3"/>
      <c r="E19" s="3"/>
    </row>
  </sheetData>
  <sheetProtection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1.8515625" style="0" customWidth="1"/>
    <col min="2" max="2" width="23.140625" style="0" customWidth="1"/>
    <col min="3" max="3" width="12.421875" style="0" customWidth="1"/>
    <col min="5" max="5" width="11.7109375" style="0" customWidth="1"/>
    <col min="6" max="6" width="9.57421875" style="0" bestFit="1" customWidth="1"/>
  </cols>
  <sheetData>
    <row r="1" ht="12.75">
      <c r="A1" s="1" t="s">
        <v>0</v>
      </c>
    </row>
    <row r="2" ht="12.75">
      <c r="A2" s="1" t="s">
        <v>12</v>
      </c>
    </row>
    <row r="4" spans="3:5" ht="12.75">
      <c r="C4" s="2">
        <v>2005</v>
      </c>
      <c r="D4" s="2"/>
      <c r="E4" s="2">
        <v>2006</v>
      </c>
    </row>
    <row r="5" spans="3:5" ht="12.75">
      <c r="C5" s="7"/>
      <c r="D5" s="7"/>
      <c r="E5" s="7"/>
    </row>
    <row r="6" spans="2:5" ht="12.75">
      <c r="B6" t="s">
        <v>13</v>
      </c>
      <c r="C6" s="3">
        <f>720*365</f>
        <v>262800</v>
      </c>
      <c r="E6" s="3">
        <f>720*365</f>
        <v>262800</v>
      </c>
    </row>
    <row r="7" spans="2:5" ht="12.75">
      <c r="B7" t="s">
        <v>14</v>
      </c>
      <c r="C7" s="8">
        <f>C8/C6</f>
        <v>0.6528348554033485</v>
      </c>
      <c r="E7" s="8">
        <f>E8/E6</f>
        <v>0.6829528158295282</v>
      </c>
    </row>
    <row r="8" spans="2:5" ht="12.75">
      <c r="B8" t="s">
        <v>15</v>
      </c>
      <c r="C8" s="3">
        <v>171565</v>
      </c>
      <c r="E8" s="3">
        <v>179480</v>
      </c>
    </row>
    <row r="9" spans="2:5" ht="15">
      <c r="B9" t="s">
        <v>16</v>
      </c>
      <c r="C9" s="28">
        <f>'Other Data'!F25</f>
        <v>157.91</v>
      </c>
      <c r="E9" s="28">
        <f>'Other Data'!G25</f>
        <v>152.15</v>
      </c>
    </row>
    <row r="10" spans="2:5" ht="12.75">
      <c r="B10" t="s">
        <v>17</v>
      </c>
      <c r="C10" s="9">
        <f>C7*C9</f>
        <v>103.08915201674276</v>
      </c>
      <c r="D10" s="9"/>
      <c r="E10" s="9">
        <f>E7*E9</f>
        <v>103.91127092846271</v>
      </c>
    </row>
    <row r="13" spans="2:5" ht="12.75">
      <c r="B13" t="s">
        <v>8</v>
      </c>
      <c r="C13" s="3">
        <f>'Other Data'!E19</f>
        <v>27091264.04</v>
      </c>
      <c r="D13" s="3"/>
      <c r="E13" s="3">
        <f>'Other Data'!G19</f>
        <v>27307689.08</v>
      </c>
    </row>
    <row r="14" spans="3:5" ht="12.75">
      <c r="C14" s="3"/>
      <c r="D14" s="3"/>
      <c r="E14" s="3"/>
    </row>
    <row r="15" spans="2:5" ht="12.75">
      <c r="B15" s="6" t="s">
        <v>18</v>
      </c>
      <c r="C15" s="3"/>
      <c r="D15" s="3"/>
      <c r="E15" s="3"/>
    </row>
    <row r="16" spans="2:5" ht="12.75">
      <c r="B16" s="6"/>
      <c r="C16" s="3"/>
      <c r="D16" s="3"/>
      <c r="E16" s="3"/>
    </row>
    <row r="17" spans="2:8" ht="12.75">
      <c r="B17" t="s">
        <v>19</v>
      </c>
      <c r="C17" s="3">
        <v>2490813</v>
      </c>
      <c r="D17" s="3"/>
      <c r="E17" s="3">
        <v>2361042</v>
      </c>
      <c r="G17" s="18"/>
      <c r="H17" s="3"/>
    </row>
    <row r="18" spans="2:7" ht="12.75">
      <c r="B18" t="s">
        <v>20</v>
      </c>
      <c r="C18" s="3">
        <v>121000</v>
      </c>
      <c r="D18" s="3"/>
      <c r="E18" s="3">
        <v>125000</v>
      </c>
      <c r="G18" s="3"/>
    </row>
    <row r="19" spans="2:5" ht="12.75">
      <c r="B19" t="s">
        <v>21</v>
      </c>
      <c r="C19" s="3">
        <v>32816</v>
      </c>
      <c r="D19" s="3"/>
      <c r="E19" s="3">
        <v>34000</v>
      </c>
    </row>
    <row r="20" spans="2:7" ht="12.75">
      <c r="B20" t="s">
        <v>22</v>
      </c>
      <c r="C20" s="3">
        <v>14810</v>
      </c>
      <c r="D20" s="3"/>
      <c r="E20" s="3">
        <v>13812</v>
      </c>
      <c r="G20" t="s">
        <v>23</v>
      </c>
    </row>
    <row r="21" spans="2:7" ht="12.75">
      <c r="B21" t="s">
        <v>24</v>
      </c>
      <c r="C21" s="3">
        <v>7654</v>
      </c>
      <c r="D21" s="3"/>
      <c r="E21" s="3">
        <v>13620</v>
      </c>
      <c r="G21" t="s">
        <v>25</v>
      </c>
    </row>
    <row r="22" spans="2:5" ht="12.75">
      <c r="B22" t="s">
        <v>26</v>
      </c>
      <c r="C22" s="3">
        <v>25491</v>
      </c>
      <c r="D22" s="3"/>
      <c r="E22" s="3">
        <v>26413</v>
      </c>
    </row>
    <row r="23" spans="2:5" ht="12.75">
      <c r="B23" t="s">
        <v>27</v>
      </c>
      <c r="C23" s="3">
        <v>0</v>
      </c>
      <c r="D23" s="3"/>
      <c r="E23" s="3">
        <v>240000</v>
      </c>
    </row>
    <row r="24" spans="2:5" ht="12.75">
      <c r="B24" t="s">
        <v>28</v>
      </c>
      <c r="C24" s="3">
        <v>18000</v>
      </c>
      <c r="D24" s="3"/>
      <c r="E24" s="3">
        <v>22600</v>
      </c>
    </row>
    <row r="25" spans="2:5" ht="12.75">
      <c r="B25" t="s">
        <v>29</v>
      </c>
      <c r="C25" s="3">
        <v>35630</v>
      </c>
      <c r="D25" s="3"/>
      <c r="E25" s="3">
        <v>36209</v>
      </c>
    </row>
    <row r="26" spans="2:5" ht="12.75">
      <c r="B26" t="s">
        <v>30</v>
      </c>
      <c r="C26" s="3">
        <v>1187508</v>
      </c>
      <c r="D26" s="3"/>
      <c r="E26" s="3">
        <v>1202118</v>
      </c>
    </row>
    <row r="27" spans="2:5" ht="12.75">
      <c r="B27" t="s">
        <v>31</v>
      </c>
      <c r="C27" s="3">
        <v>14987</v>
      </c>
      <c r="D27" s="3"/>
      <c r="E27" s="3">
        <v>15200</v>
      </c>
    </row>
    <row r="28" spans="2:5" ht="12.75">
      <c r="B28" s="32" t="s">
        <v>154</v>
      </c>
      <c r="C28" s="31">
        <v>8167</v>
      </c>
      <c r="D28" s="31"/>
      <c r="E28" s="31">
        <v>8661</v>
      </c>
    </row>
    <row r="29" spans="2:5" ht="12.75">
      <c r="B29" t="s">
        <v>32</v>
      </c>
      <c r="C29" s="4">
        <v>3508</v>
      </c>
      <c r="D29" s="3"/>
      <c r="E29" s="4">
        <v>3616</v>
      </c>
    </row>
    <row r="30" spans="3:5" ht="12.75">
      <c r="C30" s="3">
        <f>SUM(C17:C29)</f>
        <v>3960384</v>
      </c>
      <c r="D30" s="3"/>
      <c r="E30" s="3">
        <f>SUM(E17:E29)</f>
        <v>4102291</v>
      </c>
    </row>
    <row r="31" spans="3:5" ht="12.75">
      <c r="C31" s="3"/>
      <c r="D31" s="3"/>
      <c r="E31" s="3"/>
    </row>
    <row r="32" spans="2:5" ht="12.75">
      <c r="B32" s="6" t="s">
        <v>33</v>
      </c>
      <c r="C32" s="3"/>
      <c r="D32" s="3"/>
      <c r="E32" s="3"/>
    </row>
    <row r="33" spans="2:5" ht="12.75">
      <c r="B33" s="6"/>
      <c r="C33" s="3"/>
      <c r="D33" s="3"/>
      <c r="E33" s="3"/>
    </row>
    <row r="34" spans="2:7" ht="12.75">
      <c r="B34" t="s">
        <v>19</v>
      </c>
      <c r="C34" s="3">
        <v>4688723</v>
      </c>
      <c r="D34" s="3"/>
      <c r="E34" s="3">
        <v>5516433</v>
      </c>
      <c r="G34" s="10"/>
    </row>
    <row r="35" spans="2:5" ht="12.75">
      <c r="B35" t="s">
        <v>34</v>
      </c>
      <c r="C35" s="3">
        <v>61600</v>
      </c>
      <c r="D35" s="3"/>
      <c r="E35" s="3">
        <v>57321</v>
      </c>
    </row>
    <row r="36" spans="2:5" ht="12.75">
      <c r="B36" t="s">
        <v>35</v>
      </c>
      <c r="C36" s="3">
        <v>4602</v>
      </c>
      <c r="D36" s="3"/>
      <c r="E36" s="3">
        <v>4816</v>
      </c>
    </row>
    <row r="37" spans="2:5" ht="12.75">
      <c r="B37" t="s">
        <v>36</v>
      </c>
      <c r="C37" s="3">
        <v>40320</v>
      </c>
      <c r="D37" s="3"/>
      <c r="E37" s="3">
        <v>41040</v>
      </c>
    </row>
    <row r="38" spans="2:5" ht="12.75">
      <c r="B38" t="s">
        <v>29</v>
      </c>
      <c r="C38" s="3">
        <v>312986</v>
      </c>
      <c r="E38" s="3">
        <v>331204</v>
      </c>
    </row>
    <row r="39" spans="2:5" ht="12.75">
      <c r="B39" t="s">
        <v>31</v>
      </c>
      <c r="C39" s="3">
        <v>44716</v>
      </c>
      <c r="E39" s="3">
        <v>50118</v>
      </c>
    </row>
    <row r="40" spans="2:5" ht="12.75">
      <c r="B40" t="s">
        <v>32</v>
      </c>
      <c r="C40" s="4">
        <v>3768</v>
      </c>
      <c r="E40" s="4">
        <v>4118</v>
      </c>
    </row>
    <row r="41" spans="3:5" ht="12.75">
      <c r="C41" s="3">
        <f>SUM(C34:C40)</f>
        <v>5156715</v>
      </c>
      <c r="E41" s="3">
        <f>SUM(E34:E40)</f>
        <v>6005050</v>
      </c>
    </row>
    <row r="43" spans="2:5" ht="12.75">
      <c r="B43" s="42" t="s">
        <v>270</v>
      </c>
      <c r="C43" s="3">
        <f>C41+C30</f>
        <v>9117099</v>
      </c>
      <c r="E43" s="3">
        <f>E41+E30</f>
        <v>10107341</v>
      </c>
    </row>
    <row r="44" spans="2:3" ht="12.75">
      <c r="B44" s="42"/>
      <c r="C44" s="3"/>
    </row>
    <row r="45" ht="12.75">
      <c r="B45" s="6" t="s">
        <v>37</v>
      </c>
    </row>
    <row r="47" spans="2:5" ht="12.75">
      <c r="B47" t="s">
        <v>38</v>
      </c>
      <c r="C47" s="3">
        <f>'New Cost Centers'!C127</f>
        <v>570021.875711146</v>
      </c>
      <c r="E47" s="3">
        <f>'New Cost Centers'!E127</f>
        <v>667207.7843556748</v>
      </c>
    </row>
    <row r="48" spans="2:7" ht="15">
      <c r="B48" t="s">
        <v>127</v>
      </c>
      <c r="C48" s="3">
        <v>150000</v>
      </c>
      <c r="E48" s="3">
        <v>150000</v>
      </c>
      <c r="G48" s="29" t="s">
        <v>235</v>
      </c>
    </row>
    <row r="49" spans="2:5" ht="12.75">
      <c r="B49" t="s">
        <v>39</v>
      </c>
      <c r="C49" s="3">
        <f>'New Cost Centers'!M31+'New Cost Centers'!M30</f>
        <v>804975.6395681484</v>
      </c>
      <c r="E49" s="34">
        <f>'New Cost Centers'!P30+'New Cost Centers'!P31</f>
        <v>878639.8712838262</v>
      </c>
    </row>
    <row r="50" spans="2:7" ht="12.75">
      <c r="B50" t="s">
        <v>40</v>
      </c>
      <c r="C50" s="11">
        <f>'New Cost Centers'!L56+'New Cost Centers'!L59+'New Cost Centers'!L55</f>
        <v>4418409.62758408</v>
      </c>
      <c r="D50" s="10"/>
      <c r="E50" s="41">
        <f>'New Cost Centers'!M59+'New Cost Centers'!M56+'New Cost Centers'!M55</f>
        <v>4726097.41143252</v>
      </c>
      <c r="G50" t="s">
        <v>275</v>
      </c>
    </row>
    <row r="51" spans="2:5" ht="12.75">
      <c r="B51" t="s">
        <v>258</v>
      </c>
      <c r="C51" s="44">
        <f>'New Cost Centers'!J78</f>
        <v>2803268.301577374</v>
      </c>
      <c r="D51" s="6"/>
      <c r="E51" s="4">
        <f>'New Cost Centers'!L78</f>
        <v>3021051.3616532106</v>
      </c>
    </row>
    <row r="52" spans="2:5" ht="12.75">
      <c r="B52" t="s">
        <v>271</v>
      </c>
      <c r="C52" s="3">
        <f>SUM(C47:C51)</f>
        <v>8746675.444440749</v>
      </c>
      <c r="E52" s="3">
        <f>SUM(E47:E51)</f>
        <v>9442996.428725231</v>
      </c>
    </row>
    <row r="56" spans="2:5" ht="12.75">
      <c r="B56" t="s">
        <v>41</v>
      </c>
      <c r="C56" s="3">
        <f>C30+C41+C52</f>
        <v>17863774.44444075</v>
      </c>
      <c r="E56" s="3">
        <f>E30+E41+E52</f>
        <v>19550337.42872523</v>
      </c>
    </row>
  </sheetData>
  <sheetProtection/>
  <printOptions/>
  <pageMargins left="0.75" right="0.75" top="1" bottom="1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2" width="5.28125" style="0" customWidth="1"/>
    <col min="3" max="3" width="10.140625" style="0" bestFit="1" customWidth="1"/>
    <col min="5" max="5" width="11.421875" style="0" customWidth="1"/>
    <col min="6" max="6" width="13.8515625" style="0" customWidth="1"/>
    <col min="7" max="7" width="13.00390625" style="0" customWidth="1"/>
  </cols>
  <sheetData>
    <row r="1" ht="12.75">
      <c r="A1" s="1" t="s">
        <v>0</v>
      </c>
    </row>
    <row r="2" ht="12.75">
      <c r="A2" s="1" t="s">
        <v>42</v>
      </c>
    </row>
    <row r="4" ht="12.75">
      <c r="A4" s="2">
        <v>2006</v>
      </c>
    </row>
    <row r="5" spans="3:8" ht="12.75">
      <c r="C5" s="2" t="s">
        <v>43</v>
      </c>
      <c r="D5" s="2" t="s">
        <v>44</v>
      </c>
      <c r="E5" s="2" t="s">
        <v>45</v>
      </c>
      <c r="F5" s="2" t="s">
        <v>46</v>
      </c>
      <c r="G5" s="2" t="s">
        <v>47</v>
      </c>
      <c r="H5" s="2" t="s">
        <v>48</v>
      </c>
    </row>
    <row r="6" spans="1:8" ht="12.75">
      <c r="A6" t="s">
        <v>49</v>
      </c>
      <c r="C6" s="3">
        <f>SUM(D6:H6)</f>
        <v>5935537</v>
      </c>
      <c r="D6" s="3">
        <v>3681442</v>
      </c>
      <c r="E6" s="3">
        <v>1335744</v>
      </c>
      <c r="F6" s="3">
        <v>139306</v>
      </c>
      <c r="G6" s="3">
        <v>504523</v>
      </c>
      <c r="H6" s="3">
        <v>274522</v>
      </c>
    </row>
    <row r="7" spans="1:8" ht="12.75">
      <c r="A7" t="s">
        <v>50</v>
      </c>
      <c r="C7" s="11">
        <f>SUM(D7:H7)</f>
        <v>1032544</v>
      </c>
      <c r="D7" s="11">
        <v>444789</v>
      </c>
      <c r="E7" s="11">
        <v>137552</v>
      </c>
      <c r="F7" s="11">
        <v>412991</v>
      </c>
      <c r="G7" s="11">
        <v>37212</v>
      </c>
      <c r="H7" s="11">
        <v>0</v>
      </c>
    </row>
    <row r="8" spans="1:8" ht="12.75">
      <c r="A8" t="s">
        <v>51</v>
      </c>
      <c r="C8" s="4">
        <f>D98</f>
        <v>2386961</v>
      </c>
      <c r="D8" s="4">
        <f>D98</f>
        <v>2386961</v>
      </c>
      <c r="E8" s="4">
        <v>0</v>
      </c>
      <c r="F8" s="4">
        <v>0</v>
      </c>
      <c r="G8" s="4">
        <v>0</v>
      </c>
      <c r="H8" s="4">
        <v>0</v>
      </c>
    </row>
    <row r="9" spans="3:8" ht="12.75">
      <c r="C9" s="11">
        <f>SUM(C6:C8)</f>
        <v>9355042</v>
      </c>
      <c r="D9" s="11">
        <f>SUM(D6:D8)</f>
        <v>6513192</v>
      </c>
      <c r="E9" s="11">
        <f>SUM(E6:E7)</f>
        <v>1473296</v>
      </c>
      <c r="F9" s="11">
        <f>SUM(F6:F7)</f>
        <v>552297</v>
      </c>
      <c r="G9" s="11">
        <f>SUM(G6:G7)</f>
        <v>541735</v>
      </c>
      <c r="H9" s="11">
        <f>SUM(H6:H7)</f>
        <v>274522</v>
      </c>
    </row>
    <row r="10" spans="3:8" ht="12.75">
      <c r="C10" s="3"/>
      <c r="D10" s="3"/>
      <c r="E10" s="3"/>
      <c r="F10" s="3"/>
      <c r="G10" s="3"/>
      <c r="H10" s="3"/>
    </row>
    <row r="11" spans="1:8" ht="12.75">
      <c r="A11" s="6" t="s">
        <v>52</v>
      </c>
      <c r="C11" s="3"/>
      <c r="D11" s="3"/>
      <c r="E11" s="3"/>
      <c r="F11" s="3"/>
      <c r="G11" s="3"/>
      <c r="H11" s="3"/>
    </row>
    <row r="12" spans="1:8" ht="12.75">
      <c r="A12" t="s">
        <v>19</v>
      </c>
      <c r="C12" s="3">
        <f>SUM(D12:H12)</f>
        <v>3312164</v>
      </c>
      <c r="D12" s="3">
        <v>2073402</v>
      </c>
      <c r="E12" s="3">
        <f>659672</f>
        <v>659672</v>
      </c>
      <c r="F12" s="3">
        <v>201308</v>
      </c>
      <c r="G12" s="3">
        <f>377782-H12</f>
        <v>309382</v>
      </c>
      <c r="H12" s="3">
        <f>38000*1.8</f>
        <v>68400</v>
      </c>
    </row>
    <row r="13" spans="1:9" ht="12.75">
      <c r="A13" t="s">
        <v>53</v>
      </c>
      <c r="C13" s="3">
        <f>SUM(D13:G13)</f>
        <v>505300</v>
      </c>
      <c r="D13" s="3">
        <v>505300</v>
      </c>
      <c r="E13" s="3"/>
      <c r="F13" s="3"/>
      <c r="G13" s="3"/>
      <c r="H13" s="3"/>
      <c r="I13" t="s">
        <v>223</v>
      </c>
    </row>
    <row r="14" spans="1:9" ht="12.75">
      <c r="A14" t="s">
        <v>54</v>
      </c>
      <c r="C14" s="3">
        <f>SUM(D14:G14)</f>
        <v>191605</v>
      </c>
      <c r="D14" s="3">
        <v>87512</v>
      </c>
      <c r="E14" s="3">
        <v>28562</v>
      </c>
      <c r="F14" s="3">
        <v>67930</v>
      </c>
      <c r="G14" s="3">
        <v>7601</v>
      </c>
      <c r="H14" s="3"/>
      <c r="I14" t="s">
        <v>225</v>
      </c>
    </row>
    <row r="15" spans="1:9" ht="12.75">
      <c r="A15" t="s">
        <v>55</v>
      </c>
      <c r="C15" s="3">
        <f>SUM(D15:G15)</f>
        <v>23465</v>
      </c>
      <c r="D15" s="3">
        <v>17305</v>
      </c>
      <c r="E15" s="3">
        <v>5312</v>
      </c>
      <c r="F15" s="3"/>
      <c r="G15" s="3">
        <v>848</v>
      </c>
      <c r="H15" s="3"/>
      <c r="I15" t="s">
        <v>224</v>
      </c>
    </row>
    <row r="16" spans="1:8" ht="12.75">
      <c r="A16" t="s">
        <v>56</v>
      </c>
      <c r="C16" s="3">
        <f>SUM(D16:G16)</f>
        <v>14056</v>
      </c>
      <c r="D16" s="3">
        <v>5804</v>
      </c>
      <c r="E16" s="3">
        <v>6509</v>
      </c>
      <c r="F16" s="3">
        <v>1743</v>
      </c>
      <c r="G16" s="3"/>
      <c r="H16" s="3"/>
    </row>
    <row r="17" spans="1:8" ht="12.75">
      <c r="A17" t="s">
        <v>57</v>
      </c>
      <c r="C17" s="3">
        <f>SUM(D17:G17)</f>
        <v>1400</v>
      </c>
      <c r="D17" s="3"/>
      <c r="E17" s="3"/>
      <c r="F17" s="3">
        <v>1400</v>
      </c>
      <c r="G17" s="3"/>
      <c r="H17" s="3"/>
    </row>
    <row r="18" spans="1:8" ht="12.75">
      <c r="A18" t="s">
        <v>58</v>
      </c>
      <c r="C18" s="3">
        <f>H18</f>
        <v>148526</v>
      </c>
      <c r="D18" s="3"/>
      <c r="E18" s="3"/>
      <c r="F18" s="3"/>
      <c r="G18" s="3"/>
      <c r="H18" s="3">
        <v>148526</v>
      </c>
    </row>
    <row r="19" spans="1:9" ht="12.75">
      <c r="A19" t="s">
        <v>59</v>
      </c>
      <c r="C19" s="3">
        <f>SUM(D19:G19)</f>
        <v>4317</v>
      </c>
      <c r="D19" s="3"/>
      <c r="E19" s="3">
        <v>4317</v>
      </c>
      <c r="F19" s="3"/>
      <c r="G19" s="3"/>
      <c r="H19" s="3"/>
      <c r="I19" t="s">
        <v>226</v>
      </c>
    </row>
    <row r="20" spans="1:8" ht="12.75">
      <c r="A20" t="s">
        <v>60</v>
      </c>
      <c r="C20" s="3">
        <f>SUM(D20:G20)</f>
        <v>3588752</v>
      </c>
      <c r="D20" s="3">
        <f>D115+D125</f>
        <v>2416830.084766248</v>
      </c>
      <c r="E20" s="3">
        <f>D116+D126</f>
        <v>763261.6565335015</v>
      </c>
      <c r="F20" s="3">
        <f>D117+D127</f>
        <v>72945.97999546018</v>
      </c>
      <c r="G20" s="3">
        <f>D118+D128</f>
        <v>335714.2787047906</v>
      </c>
      <c r="H20" s="3"/>
    </row>
    <row r="21" spans="1:8" ht="12.75">
      <c r="A21" t="s">
        <v>61</v>
      </c>
      <c r="C21" s="3">
        <f>D121</f>
        <v>428395.6173063773</v>
      </c>
      <c r="D21" s="3"/>
      <c r="E21" s="3"/>
      <c r="F21" s="3"/>
      <c r="G21" s="3"/>
      <c r="H21" s="3"/>
    </row>
    <row r="22" spans="1:8" ht="12.75">
      <c r="A22" t="s">
        <v>62</v>
      </c>
      <c r="C22" s="3">
        <f aca="true" t="shared" si="0" ref="C22:C28">SUM(D22:G22)</f>
        <v>12824</v>
      </c>
      <c r="D22" s="3">
        <v>7000</v>
      </c>
      <c r="E22" s="3">
        <v>2654</v>
      </c>
      <c r="F22" s="3">
        <v>3170</v>
      </c>
      <c r="G22" s="3"/>
      <c r="H22" s="3"/>
    </row>
    <row r="23" spans="1:8" ht="12.75">
      <c r="A23" t="s">
        <v>34</v>
      </c>
      <c r="C23" s="3">
        <f t="shared" si="0"/>
        <v>7599</v>
      </c>
      <c r="D23" s="3">
        <v>6243</v>
      </c>
      <c r="E23" s="3">
        <v>1356</v>
      </c>
      <c r="F23" s="3"/>
      <c r="G23" s="3"/>
      <c r="H23" s="3"/>
    </row>
    <row r="24" spans="1:8" ht="12.75">
      <c r="A24" t="s">
        <v>63</v>
      </c>
      <c r="C24" s="3">
        <f t="shared" si="0"/>
        <v>2964</v>
      </c>
      <c r="D24" s="3"/>
      <c r="E24" s="3">
        <v>1214</v>
      </c>
      <c r="F24" s="3"/>
      <c r="G24" s="3">
        <v>1750</v>
      </c>
      <c r="H24" s="3"/>
    </row>
    <row r="25" spans="1:8" ht="12.75">
      <c r="A25" t="s">
        <v>29</v>
      </c>
      <c r="C25" s="3">
        <f t="shared" si="0"/>
        <v>59963</v>
      </c>
      <c r="D25" s="3">
        <v>40657</v>
      </c>
      <c r="E25" s="3">
        <v>9431</v>
      </c>
      <c r="F25" s="3">
        <v>2765</v>
      </c>
      <c r="G25" s="3">
        <v>7110</v>
      </c>
      <c r="H25" s="3"/>
    </row>
    <row r="26" spans="1:8" ht="12.75">
      <c r="A26" t="s">
        <v>31</v>
      </c>
      <c r="C26" s="3">
        <f t="shared" si="0"/>
        <v>20420</v>
      </c>
      <c r="D26" s="3">
        <v>10306</v>
      </c>
      <c r="E26" s="3">
        <v>6894</v>
      </c>
      <c r="F26" s="3">
        <v>1114</v>
      </c>
      <c r="G26" s="3">
        <v>2106</v>
      </c>
      <c r="H26" s="3"/>
    </row>
    <row r="27" spans="1:8" ht="12.75">
      <c r="A27" s="25" t="s">
        <v>281</v>
      </c>
      <c r="C27" s="18">
        <v>20702</v>
      </c>
      <c r="E27" s="3"/>
      <c r="F27" s="3"/>
      <c r="G27" s="3"/>
      <c r="H27" s="3"/>
    </row>
    <row r="28" spans="1:8" ht="12.75">
      <c r="A28" t="s">
        <v>32</v>
      </c>
      <c r="C28" s="4">
        <f t="shared" si="0"/>
        <v>5936</v>
      </c>
      <c r="D28" s="4">
        <v>2481</v>
      </c>
      <c r="E28" s="4">
        <v>2359</v>
      </c>
      <c r="F28" s="4">
        <v>873</v>
      </c>
      <c r="G28" s="4">
        <v>223</v>
      </c>
      <c r="H28" s="4"/>
    </row>
    <row r="29" spans="1:11" ht="12.75">
      <c r="A29" t="s">
        <v>280</v>
      </c>
      <c r="C29" s="3">
        <f aca="true" t="shared" si="1" ref="C29:H29">SUM(C12:C28)</f>
        <v>8348388.617306378</v>
      </c>
      <c r="D29" s="3">
        <f t="shared" si="1"/>
        <v>5172840.084766248</v>
      </c>
      <c r="E29" s="3">
        <f t="shared" si="1"/>
        <v>1491541.6565335016</v>
      </c>
      <c r="F29" s="3">
        <f t="shared" si="1"/>
        <v>353248.9799954602</v>
      </c>
      <c r="G29" s="3">
        <f t="shared" si="1"/>
        <v>664734.2787047906</v>
      </c>
      <c r="H29" s="3">
        <f t="shared" si="1"/>
        <v>216926</v>
      </c>
      <c r="J29" s="3"/>
      <c r="K29" s="3"/>
    </row>
    <row r="30" spans="3:8" ht="12.75">
      <c r="C30" s="3"/>
      <c r="D30" s="3"/>
      <c r="E30" s="3"/>
      <c r="F30" s="3"/>
      <c r="G30" s="3"/>
      <c r="H30" s="3"/>
    </row>
    <row r="31" spans="3:8" ht="12.75">
      <c r="C31" s="3"/>
      <c r="D31" s="3"/>
      <c r="E31" s="3"/>
      <c r="F31" s="3"/>
      <c r="G31" s="3"/>
      <c r="H31" s="3"/>
    </row>
    <row r="32" spans="1:8" ht="12.75">
      <c r="A32" s="6" t="s">
        <v>37</v>
      </c>
      <c r="C32" s="3"/>
      <c r="D32" s="3"/>
      <c r="E32" s="3"/>
      <c r="F32" s="3"/>
      <c r="G32" s="3"/>
      <c r="H32" s="3"/>
    </row>
    <row r="33" spans="1:10" ht="12.75">
      <c r="A33" t="s">
        <v>38</v>
      </c>
      <c r="C33" s="45">
        <f>SUM(D33:H33)</f>
        <v>80792.69406719795</v>
      </c>
      <c r="D33" s="45">
        <f>K36*'New Cost Centers'!E126</f>
        <v>52567.37842692287</v>
      </c>
      <c r="E33" s="45">
        <f>L36*'New Cost Centers'!E126</f>
        <v>23642.60756583928</v>
      </c>
      <c r="F33" s="45">
        <f>M36*'New Cost Centers'!E126</f>
        <v>1421.3746968838336</v>
      </c>
      <c r="G33" s="45">
        <f>N36*'New Cost Centers'!E126</f>
        <v>3161.3333775519745</v>
      </c>
      <c r="H33" s="45">
        <f>O36*'New Cost Centers'!$C$126</f>
        <v>0</v>
      </c>
      <c r="J33" t="s">
        <v>273</v>
      </c>
    </row>
    <row r="34" spans="1:15" ht="12.75">
      <c r="A34" t="s">
        <v>64</v>
      </c>
      <c r="C34" s="45">
        <f>SUM(D34:H34)</f>
        <v>369433.0163702104</v>
      </c>
      <c r="D34" s="45">
        <f>'New Cost Centers'!P32</f>
        <v>231263.65572720038</v>
      </c>
      <c r="E34" s="45">
        <f>'New Cost Centers'!P33</f>
        <v>73578.6684400197</v>
      </c>
      <c r="F34" s="45">
        <f>'New Cost Centers'!P34</f>
        <v>22453.544468043947</v>
      </c>
      <c r="G34" s="45">
        <f>'New Cost Centers'!P35</f>
        <v>34507.93060689278</v>
      </c>
      <c r="H34" s="45">
        <f>'New Cost Centers'!P36</f>
        <v>7629.2171280535595</v>
      </c>
      <c r="J34" s="2" t="s">
        <v>43</v>
      </c>
      <c r="K34" s="2" t="s">
        <v>44</v>
      </c>
      <c r="L34" s="2" t="s">
        <v>45</v>
      </c>
      <c r="M34" s="2" t="s">
        <v>46</v>
      </c>
      <c r="N34" s="2" t="s">
        <v>47</v>
      </c>
      <c r="O34" s="2" t="s">
        <v>48</v>
      </c>
    </row>
    <row r="35" spans="1:15" ht="12.75">
      <c r="A35" t="s">
        <v>40</v>
      </c>
      <c r="C35" s="46">
        <f>SUM(D35:H35)</f>
        <v>167059.15948427698</v>
      </c>
      <c r="D35" s="47">
        <f>'New Cost Centers'!M52+'New Cost Centers'!M53</f>
        <v>139733.49770989708</v>
      </c>
      <c r="E35" s="47">
        <f>'New Cost Centers'!M61</f>
        <v>22357.359633583532</v>
      </c>
      <c r="F35" s="47">
        <f>'New Cost Centers'!M54</f>
        <v>4968.302140796341</v>
      </c>
      <c r="G35" s="47">
        <v>0</v>
      </c>
      <c r="H35" s="46">
        <v>0</v>
      </c>
      <c r="J35" s="3">
        <f>SUM(K35:N35)</f>
        <v>79123</v>
      </c>
      <c r="K35" s="3">
        <v>51481</v>
      </c>
      <c r="L35" s="3">
        <v>23154</v>
      </c>
      <c r="M35" s="3">
        <v>1392</v>
      </c>
      <c r="N35" s="3">
        <v>3096</v>
      </c>
      <c r="O35" s="3"/>
    </row>
    <row r="36" spans="1:14" ht="12.75">
      <c r="A36" t="s">
        <v>258</v>
      </c>
      <c r="C36" s="48">
        <f>SUM(D36:H36)</f>
        <v>1068220.6554307765</v>
      </c>
      <c r="D36" s="48">
        <f>'New Cost Centers'!L79</f>
        <v>720554.8408971705</v>
      </c>
      <c r="E36" s="48">
        <f>'New Cost Centers'!L80</f>
        <v>162990.8292085413</v>
      </c>
      <c r="F36" s="48">
        <f>'New Cost Centers'!L81</f>
        <v>61100.65187130742</v>
      </c>
      <c r="G36" s="48">
        <f>'New Cost Centers'!L82</f>
        <v>30370.38613828258</v>
      </c>
      <c r="H36" s="48">
        <f>'New Cost Centers'!L83</f>
        <v>93203.94731547464</v>
      </c>
      <c r="K36">
        <f>K35/J35</f>
        <v>0.6506451979828874</v>
      </c>
      <c r="L36">
        <f>L35/J35</f>
        <v>0.29263298914348546</v>
      </c>
      <c r="M36">
        <f>M35/J35</f>
        <v>0.017592861746900397</v>
      </c>
      <c r="N36">
        <f>N35/J35</f>
        <v>0.03912895112672674</v>
      </c>
    </row>
    <row r="37" spans="1:8" ht="12.75">
      <c r="A37" t="s">
        <v>274</v>
      </c>
      <c r="C37" s="3">
        <f>SUM(C33:C36)</f>
        <v>1685505.5253524617</v>
      </c>
      <c r="D37" s="3">
        <f>SUM(D33:D36)</f>
        <v>1144119.3727611909</v>
      </c>
      <c r="E37" s="3">
        <f>SUM(E33:E36)</f>
        <v>282569.4648479838</v>
      </c>
      <c r="F37" s="3">
        <f>SUM(F33:F36)</f>
        <v>89943.87317703155</v>
      </c>
      <c r="G37" s="3">
        <f>SUM(G33:G36)</f>
        <v>68039.65012272734</v>
      </c>
      <c r="H37" s="3">
        <f>SUM(H29:H36)</f>
        <v>317759.1644435282</v>
      </c>
    </row>
    <row r="38" spans="3:8" ht="12.75">
      <c r="C38" s="3"/>
      <c r="D38" s="3"/>
      <c r="E38" s="3"/>
      <c r="F38" s="3"/>
      <c r="G38" s="3"/>
      <c r="H38" s="3"/>
    </row>
    <row r="39" spans="3:8" ht="12.75">
      <c r="C39" s="3"/>
      <c r="D39" s="3"/>
      <c r="E39" s="3"/>
      <c r="F39" s="3"/>
      <c r="G39" s="3"/>
      <c r="H39" s="3"/>
    </row>
    <row r="40" spans="1:8" ht="12.75">
      <c r="A40" t="s">
        <v>41</v>
      </c>
      <c r="C40" s="11">
        <f aca="true" t="shared" si="2" ref="C40:H40">C29+C37</f>
        <v>10033894.142658839</v>
      </c>
      <c r="D40" s="11">
        <f t="shared" si="2"/>
        <v>6316959.457527439</v>
      </c>
      <c r="E40" s="11">
        <f t="shared" si="2"/>
        <v>1774111.1213814854</v>
      </c>
      <c r="F40" s="11">
        <f t="shared" si="2"/>
        <v>443192.85317249177</v>
      </c>
      <c r="G40" s="11">
        <f t="shared" si="2"/>
        <v>732773.928827518</v>
      </c>
      <c r="H40" s="11">
        <f t="shared" si="2"/>
        <v>534685.1644435283</v>
      </c>
    </row>
    <row r="41" spans="3:8" ht="12.75">
      <c r="C41" s="3"/>
      <c r="D41" s="3"/>
      <c r="E41" s="3"/>
      <c r="F41" s="3"/>
      <c r="G41" s="3"/>
      <c r="H41" s="3"/>
    </row>
    <row r="42" spans="1:8" ht="12.75">
      <c r="A42" t="s">
        <v>65</v>
      </c>
      <c r="C42" s="3">
        <f aca="true" t="shared" si="3" ref="C42:H42">C9-C40</f>
        <v>-678852.142658839</v>
      </c>
      <c r="D42" s="3">
        <f t="shared" si="3"/>
        <v>196232.5424725609</v>
      </c>
      <c r="E42" s="3">
        <f t="shared" si="3"/>
        <v>-300815.12138148537</v>
      </c>
      <c r="F42" s="3">
        <f t="shared" si="3"/>
        <v>109104.14682750823</v>
      </c>
      <c r="G42" s="3">
        <f t="shared" si="3"/>
        <v>-191038.92882751802</v>
      </c>
      <c r="H42" s="3">
        <f t="shared" si="3"/>
        <v>-260163.16444352828</v>
      </c>
    </row>
    <row r="43" spans="3:8" ht="12.75">
      <c r="C43" s="3"/>
      <c r="D43" s="3"/>
      <c r="E43" s="3"/>
      <c r="F43" s="3"/>
      <c r="G43" s="3"/>
      <c r="H43" s="3"/>
    </row>
    <row r="44" spans="3:8" ht="12.75">
      <c r="C44" s="3"/>
      <c r="D44" s="3"/>
      <c r="E44" s="3"/>
      <c r="F44" s="3"/>
      <c r="G44" s="3"/>
      <c r="H44" s="3"/>
    </row>
    <row r="45" spans="3:8" ht="12.75">
      <c r="C45" s="3"/>
      <c r="D45" s="3"/>
      <c r="E45" s="3"/>
      <c r="F45" s="3"/>
      <c r="G45" s="3"/>
      <c r="H45" s="3"/>
    </row>
    <row r="46" spans="3:8" ht="12.75">
      <c r="C46" s="3"/>
      <c r="D46" s="3"/>
      <c r="E46" s="3"/>
      <c r="F46" s="3"/>
      <c r="G46" s="3"/>
      <c r="H46" s="3"/>
    </row>
    <row r="47" spans="3:8" ht="12.75">
      <c r="C47" s="3"/>
      <c r="D47" s="3"/>
      <c r="E47" s="3"/>
      <c r="F47" s="3"/>
      <c r="G47" s="3"/>
      <c r="H47" s="3"/>
    </row>
    <row r="48" spans="3:8" ht="12.75">
      <c r="C48" s="3"/>
      <c r="D48" s="3"/>
      <c r="E48" s="3"/>
      <c r="F48" s="3"/>
      <c r="G48" s="3"/>
      <c r="H48" s="3"/>
    </row>
    <row r="49" spans="3:8" ht="12.75">
      <c r="C49" s="3"/>
      <c r="D49" s="3"/>
      <c r="E49" s="3"/>
      <c r="F49" s="3"/>
      <c r="G49" s="3"/>
      <c r="H49" s="3"/>
    </row>
    <row r="50" spans="3:8" ht="12.75">
      <c r="C50" s="3"/>
      <c r="D50" s="3"/>
      <c r="E50" s="3"/>
      <c r="F50" s="3"/>
      <c r="G50" s="3"/>
      <c r="H50" s="3"/>
    </row>
    <row r="51" ht="12.75">
      <c r="A51" s="2">
        <v>2005</v>
      </c>
    </row>
    <row r="52" spans="3:8" ht="12.75">
      <c r="C52" s="2" t="s">
        <v>43</v>
      </c>
      <c r="D52" s="2" t="s">
        <v>44</v>
      </c>
      <c r="E52" s="2" t="s">
        <v>45</v>
      </c>
      <c r="F52" s="2" t="s">
        <v>46</v>
      </c>
      <c r="G52" s="2" t="s">
        <v>47</v>
      </c>
      <c r="H52" s="2" t="s">
        <v>48</v>
      </c>
    </row>
    <row r="53" spans="1:8" ht="12.75">
      <c r="A53" t="s">
        <v>49</v>
      </c>
      <c r="C53" s="3">
        <f>SUM(D53:H53)</f>
        <v>5936291</v>
      </c>
      <c r="D53" s="3">
        <v>3764807</v>
      </c>
      <c r="E53" s="3">
        <v>1281909</v>
      </c>
      <c r="F53" s="3">
        <v>138706</v>
      </c>
      <c r="G53" s="3">
        <v>487780</v>
      </c>
      <c r="H53" s="3">
        <v>263089</v>
      </c>
    </row>
    <row r="54" spans="1:8" ht="12.75">
      <c r="A54" t="s">
        <v>50</v>
      </c>
      <c r="C54" s="11">
        <f>SUM(D54:H54)</f>
        <v>1020141</v>
      </c>
      <c r="D54" s="11">
        <v>458331</v>
      </c>
      <c r="E54" s="11">
        <v>130291</v>
      </c>
      <c r="F54" s="11">
        <v>395702</v>
      </c>
      <c r="G54" s="11">
        <v>35817</v>
      </c>
      <c r="H54" s="11">
        <v>0</v>
      </c>
    </row>
    <row r="55" spans="1:8" ht="12.75">
      <c r="A55" t="s">
        <v>51</v>
      </c>
      <c r="C55" s="4">
        <f>C98</f>
        <v>2424183</v>
      </c>
      <c r="D55" s="4">
        <f>C98</f>
        <v>2424183</v>
      </c>
      <c r="E55" s="4">
        <v>0</v>
      </c>
      <c r="F55" s="4">
        <v>0</v>
      </c>
      <c r="G55" s="4">
        <v>0</v>
      </c>
      <c r="H55" s="4">
        <v>0</v>
      </c>
    </row>
    <row r="56" spans="3:8" ht="12.75">
      <c r="C56" s="11">
        <f>SUM(C53:C55)</f>
        <v>9380615</v>
      </c>
      <c r="D56" s="11">
        <f>SUM(D53:D55)</f>
        <v>6647321</v>
      </c>
      <c r="E56" s="11">
        <f>SUM(E53:E54)</f>
        <v>1412200</v>
      </c>
      <c r="F56" s="11">
        <f>SUM(F53:F54)</f>
        <v>534408</v>
      </c>
      <c r="G56" s="11">
        <f>SUM(G53:G54)</f>
        <v>523597</v>
      </c>
      <c r="H56" s="11">
        <f>SUM(H53:H54)</f>
        <v>263089</v>
      </c>
    </row>
    <row r="57" spans="3:8" ht="12.75">
      <c r="C57" s="3"/>
      <c r="D57" s="3"/>
      <c r="E57" s="3"/>
      <c r="F57" s="3"/>
      <c r="G57" s="3"/>
      <c r="H57" s="3"/>
    </row>
    <row r="58" spans="1:8" ht="12.75">
      <c r="A58" s="6" t="s">
        <v>52</v>
      </c>
      <c r="C58" s="3"/>
      <c r="D58" s="3"/>
      <c r="E58" s="3"/>
      <c r="F58" s="3"/>
      <c r="G58" s="3"/>
      <c r="H58" s="3"/>
    </row>
    <row r="59" spans="1:8" ht="12.75">
      <c r="A59" t="s">
        <v>19</v>
      </c>
      <c r="C59" s="3">
        <f>SUM(D59:H59)</f>
        <v>3246855</v>
      </c>
      <c r="D59" s="3">
        <v>2069611</v>
      </c>
      <c r="E59" s="3">
        <f>632583-H59</f>
        <v>564183</v>
      </c>
      <c r="F59" s="3">
        <v>190790</v>
      </c>
      <c r="G59" s="3">
        <v>353871</v>
      </c>
      <c r="H59" s="3">
        <f>38000*1.8</f>
        <v>68400</v>
      </c>
    </row>
    <row r="60" spans="1:8" ht="12.75">
      <c r="A60" t="s">
        <v>53</v>
      </c>
      <c r="C60" s="3">
        <f>D60+E60+F60+G60</f>
        <v>485710</v>
      </c>
      <c r="D60" s="3">
        <v>485710</v>
      </c>
      <c r="E60" s="3"/>
      <c r="F60" s="3"/>
      <c r="G60" s="3"/>
      <c r="H60" s="3"/>
    </row>
    <row r="61" spans="1:8" ht="12.75">
      <c r="A61" t="s">
        <v>54</v>
      </c>
      <c r="C61" s="3">
        <f>D61+E61+F61+G61</f>
        <v>187915</v>
      </c>
      <c r="D61" s="3">
        <v>91615</v>
      </c>
      <c r="E61" s="3">
        <v>26614</v>
      </c>
      <c r="F61" s="3">
        <v>62530</v>
      </c>
      <c r="G61" s="3">
        <v>7156</v>
      </c>
      <c r="H61" s="3"/>
    </row>
    <row r="62" spans="1:8" ht="12.75">
      <c r="A62" t="s">
        <v>55</v>
      </c>
      <c r="C62" s="3">
        <f>D62+E62+F62+G62</f>
        <v>22111</v>
      </c>
      <c r="D62" s="3">
        <v>16409</v>
      </c>
      <c r="E62" s="3">
        <v>5139</v>
      </c>
      <c r="F62" s="3"/>
      <c r="G62" s="3">
        <v>563</v>
      </c>
      <c r="H62" s="3"/>
    </row>
    <row r="63" spans="1:8" ht="12.75">
      <c r="A63" t="s">
        <v>56</v>
      </c>
      <c r="C63" s="3">
        <f>D63+E63+F63+G63</f>
        <v>13135</v>
      </c>
      <c r="D63" s="3">
        <v>5600</v>
      </c>
      <c r="E63" s="3">
        <v>5877</v>
      </c>
      <c r="F63" s="3">
        <v>1658</v>
      </c>
      <c r="G63" s="3"/>
      <c r="H63" s="3"/>
    </row>
    <row r="64" spans="1:8" ht="12.75">
      <c r="A64" t="s">
        <v>57</v>
      </c>
      <c r="C64" s="3">
        <f>D64+E64+F64+G64</f>
        <v>1400</v>
      </c>
      <c r="D64" s="3"/>
      <c r="E64" s="3"/>
      <c r="F64" s="3">
        <v>1400</v>
      </c>
      <c r="G64" s="3"/>
      <c r="H64" s="3"/>
    </row>
    <row r="65" spans="1:8" ht="12.75">
      <c r="A65" t="s">
        <v>58</v>
      </c>
      <c r="C65" s="3">
        <f>H65</f>
        <v>146620</v>
      </c>
      <c r="D65" s="3"/>
      <c r="E65" s="3"/>
      <c r="F65" s="3"/>
      <c r="G65" s="3"/>
      <c r="H65" s="3">
        <v>146620</v>
      </c>
    </row>
    <row r="66" spans="1:8" ht="12.75">
      <c r="A66" t="s">
        <v>59</v>
      </c>
      <c r="C66" s="3">
        <f>D66+E66+F66+G66</f>
        <v>3865</v>
      </c>
      <c r="D66" s="3"/>
      <c r="E66" s="3">
        <v>3865</v>
      </c>
      <c r="F66" s="3"/>
      <c r="G66" s="3"/>
      <c r="H66" s="3"/>
    </row>
    <row r="67" spans="1:8" ht="12.75">
      <c r="A67" t="s">
        <v>60</v>
      </c>
      <c r="C67" s="3">
        <f>D67+E67+F67+G67</f>
        <v>3544120</v>
      </c>
      <c r="D67" s="3">
        <f>C115+C125</f>
        <v>2391072.827543246</v>
      </c>
      <c r="E67" s="3">
        <f>C116+C126</f>
        <v>756331.294011389</v>
      </c>
      <c r="F67" s="3">
        <f>C117+C127</f>
        <v>73137.74696265001</v>
      </c>
      <c r="G67" s="3">
        <f>C118+C128</f>
        <v>323578.13148271467</v>
      </c>
      <c r="H67" s="3"/>
    </row>
    <row r="68" spans="1:8" ht="12.75">
      <c r="A68" t="s">
        <v>61</v>
      </c>
      <c r="C68" s="3">
        <f>C121</f>
        <v>436574.4677723376</v>
      </c>
      <c r="D68" s="3"/>
      <c r="E68" s="3"/>
      <c r="F68" s="3"/>
      <c r="G68" s="3"/>
      <c r="H68" s="3"/>
    </row>
    <row r="69" spans="1:8" ht="12.75">
      <c r="A69" t="s">
        <v>62</v>
      </c>
      <c r="C69" s="3">
        <f aca="true" t="shared" si="4" ref="C69:C75">D69+E69+F69+G69</f>
        <v>12624</v>
      </c>
      <c r="D69" s="3">
        <v>7000</v>
      </c>
      <c r="E69" s="3">
        <v>2554</v>
      </c>
      <c r="F69" s="3">
        <v>3070</v>
      </c>
      <c r="G69" s="3"/>
      <c r="H69" s="3"/>
    </row>
    <row r="70" spans="1:8" ht="12.75">
      <c r="A70" t="s">
        <v>34</v>
      </c>
      <c r="C70" s="3">
        <f t="shared" si="4"/>
        <v>6747</v>
      </c>
      <c r="D70" s="3">
        <v>5579</v>
      </c>
      <c r="E70" s="3">
        <v>1168</v>
      </c>
      <c r="F70" s="3"/>
      <c r="G70" s="3"/>
      <c r="H70" s="3"/>
    </row>
    <row r="71" spans="1:8" ht="12.75">
      <c r="A71" t="s">
        <v>63</v>
      </c>
      <c r="C71" s="3">
        <f t="shared" si="4"/>
        <v>3018</v>
      </c>
      <c r="D71" s="3"/>
      <c r="E71" s="3">
        <v>1775</v>
      </c>
      <c r="F71" s="3"/>
      <c r="G71" s="3">
        <v>1243</v>
      </c>
      <c r="H71" s="3"/>
    </row>
    <row r="72" spans="1:8" ht="12.75">
      <c r="A72" t="s">
        <v>29</v>
      </c>
      <c r="C72" s="3">
        <f t="shared" si="4"/>
        <v>60469</v>
      </c>
      <c r="D72" s="3">
        <v>41678</v>
      </c>
      <c r="E72" s="3">
        <v>9071</v>
      </c>
      <c r="F72" s="3">
        <v>2678</v>
      </c>
      <c r="G72" s="3">
        <v>7042</v>
      </c>
      <c r="H72" s="3"/>
    </row>
    <row r="73" spans="1:8" ht="12.75">
      <c r="A73" t="s">
        <v>31</v>
      </c>
      <c r="C73" s="3">
        <f t="shared" si="4"/>
        <v>19644</v>
      </c>
      <c r="D73" s="3">
        <v>10068</v>
      </c>
      <c r="E73" s="3">
        <v>6498</v>
      </c>
      <c r="F73" s="3">
        <v>1082</v>
      </c>
      <c r="G73" s="3">
        <v>1996</v>
      </c>
      <c r="H73" s="3"/>
    </row>
    <row r="74" spans="1:8" ht="12.75">
      <c r="A74" s="25" t="s">
        <v>277</v>
      </c>
      <c r="C74" s="18">
        <v>19546</v>
      </c>
      <c r="D74" s="3"/>
      <c r="E74" s="3"/>
      <c r="F74" s="3"/>
      <c r="G74" s="3"/>
      <c r="H74" s="3"/>
    </row>
    <row r="75" spans="1:8" ht="12.75">
      <c r="A75" t="s">
        <v>32</v>
      </c>
      <c r="C75" s="4">
        <f t="shared" si="4"/>
        <v>5520</v>
      </c>
      <c r="D75" s="4">
        <v>1986</v>
      </c>
      <c r="E75" s="4">
        <v>2227</v>
      </c>
      <c r="F75" s="4">
        <v>856</v>
      </c>
      <c r="G75" s="4">
        <v>451</v>
      </c>
      <c r="H75" s="3"/>
    </row>
    <row r="76" spans="1:11" ht="12.75">
      <c r="A76" t="s">
        <v>280</v>
      </c>
      <c r="C76" s="3">
        <f aca="true" t="shared" si="5" ref="C76:H76">SUM(C59:C75)</f>
        <v>8215873.467772338</v>
      </c>
      <c r="D76" s="3">
        <f t="shared" si="5"/>
        <v>5126328.827543246</v>
      </c>
      <c r="E76" s="3">
        <f t="shared" si="5"/>
        <v>1385302.294011389</v>
      </c>
      <c r="F76" s="3">
        <f t="shared" si="5"/>
        <v>337201.74696265</v>
      </c>
      <c r="G76" s="3">
        <f t="shared" si="5"/>
        <v>695900.1314827147</v>
      </c>
      <c r="H76" s="3">
        <f t="shared" si="5"/>
        <v>215020</v>
      </c>
      <c r="J76" s="3"/>
      <c r="K76" s="3"/>
    </row>
    <row r="77" spans="3:8" ht="12.75">
      <c r="C77" s="3"/>
      <c r="D77" s="3"/>
      <c r="E77" s="3"/>
      <c r="F77" s="3"/>
      <c r="G77" s="3"/>
      <c r="H77" s="3"/>
    </row>
    <row r="78" spans="3:8" ht="12.75">
      <c r="C78" s="3"/>
      <c r="D78" s="3"/>
      <c r="E78" s="3"/>
      <c r="F78" s="3"/>
      <c r="G78" s="3"/>
      <c r="H78" s="3"/>
    </row>
    <row r="79" spans="1:8" ht="12.75">
      <c r="A79" s="6" t="s">
        <v>37</v>
      </c>
      <c r="C79" s="3"/>
      <c r="D79" s="3"/>
      <c r="E79" s="3"/>
      <c r="F79" s="3"/>
      <c r="G79" s="3"/>
      <c r="H79" s="3"/>
    </row>
    <row r="80" spans="1:11" ht="12.75">
      <c r="A80" t="s">
        <v>38</v>
      </c>
      <c r="C80" s="3">
        <f>D80+E80+F80+G80</f>
        <v>81093.30936401943</v>
      </c>
      <c r="D80" s="3">
        <f>L83*'New Cost Centers'!$C$126</f>
        <v>51899.67702951457</v>
      </c>
      <c r="E80" s="3">
        <f>M83*'New Cost Centers'!$C$126</f>
        <v>24655.90528942151</v>
      </c>
      <c r="F80" s="3">
        <f>N83*'New Cost Centers'!$C$126</f>
        <v>1460.3472729155621</v>
      </c>
      <c r="G80" s="3">
        <f>O83*'New Cost Centers'!$C$126</f>
        <v>3077.379772167787</v>
      </c>
      <c r="H80" s="3">
        <f>P83*'New Cost Centers'!$C$126</f>
        <v>0</v>
      </c>
      <c r="K80" t="s">
        <v>273</v>
      </c>
    </row>
    <row r="81" spans="1:16" ht="12.75">
      <c r="A81" t="s">
        <v>39</v>
      </c>
      <c r="C81" s="3">
        <f>D81+E81+F81+G81+H81</f>
        <v>364040.1246278367</v>
      </c>
      <c r="D81" s="3">
        <f>'New Cost Centers'!M32</f>
        <v>232046.53314396294</v>
      </c>
      <c r="E81" s="3">
        <f>'New Cost Centers'!M33</f>
        <v>63256.67442275888</v>
      </c>
      <c r="F81" s="3">
        <f>'New Cost Centers'!M34</f>
        <v>21391.53592560954</v>
      </c>
      <c r="G81" s="3">
        <f>'New Cost Centers'!M35</f>
        <v>39676.315370466866</v>
      </c>
      <c r="H81" s="3">
        <f>'New Cost Centers'!M36</f>
        <v>7669.065765038485</v>
      </c>
      <c r="K81" s="2" t="s">
        <v>43</v>
      </c>
      <c r="L81" s="2" t="s">
        <v>44</v>
      </c>
      <c r="M81" s="2" t="s">
        <v>45</v>
      </c>
      <c r="N81" s="2" t="s">
        <v>46</v>
      </c>
      <c r="O81" s="2" t="s">
        <v>47</v>
      </c>
      <c r="P81" s="2" t="s">
        <v>48</v>
      </c>
    </row>
    <row r="82" spans="1:16" ht="12.75">
      <c r="A82" t="s">
        <v>40</v>
      </c>
      <c r="C82" s="20">
        <f>SUM(D82:H82)</f>
        <v>156182.94215770267</v>
      </c>
      <c r="D82" s="11">
        <f>'New Cost Centers'!L52+'New Cost Centers'!L53</f>
        <v>130636.28990885911</v>
      </c>
      <c r="E82" s="11">
        <f>'New Cost Centers'!L61</f>
        <v>20901.806385417458</v>
      </c>
      <c r="F82" s="11">
        <f>'New Cost Centers'!L54</f>
        <v>4644.8458634261015</v>
      </c>
      <c r="G82" s="11"/>
      <c r="H82" s="20"/>
      <c r="K82" s="3">
        <f>L82+M82+N82+O82</f>
        <v>79186</v>
      </c>
      <c r="L82" s="3">
        <v>50679</v>
      </c>
      <c r="M82" s="3">
        <v>24076</v>
      </c>
      <c r="N82" s="3">
        <v>1426</v>
      </c>
      <c r="O82" s="3">
        <v>3005</v>
      </c>
      <c r="P82" s="3"/>
    </row>
    <row r="83" spans="1:15" ht="12.75">
      <c r="A83" t="s">
        <v>258</v>
      </c>
      <c r="C83" s="4">
        <f>SUM(D83:H83)</f>
        <v>970659.0523046425</v>
      </c>
      <c r="D83" s="4">
        <f>'New Cost Centers'!J79</f>
        <v>687831.4803693306</v>
      </c>
      <c r="E83" s="4">
        <f>'New Cost Centers'!J80</f>
        <v>146127.38223076164</v>
      </c>
      <c r="F83" s="4">
        <f>'New Cost Centers'!J81</f>
        <v>55297.86296783519</v>
      </c>
      <c r="G83" s="4">
        <f>'New Cost Centers'!J82</f>
        <v>54179.19484058922</v>
      </c>
      <c r="H83" s="4">
        <f>'New Cost Centers'!J83</f>
        <v>27223.131896125793</v>
      </c>
      <c r="L83">
        <f>L82/K82</f>
        <v>0.6399994948602026</v>
      </c>
      <c r="M83">
        <f>M82/K82</f>
        <v>0.3040436440784987</v>
      </c>
      <c r="N83">
        <f>N82/K82</f>
        <v>0.018008233778698254</v>
      </c>
      <c r="O83">
        <f>O82/K82</f>
        <v>0.03794862728260046</v>
      </c>
    </row>
    <row r="84" spans="1:8" ht="12.75">
      <c r="A84" t="s">
        <v>274</v>
      </c>
      <c r="C84" s="3">
        <f aca="true" t="shared" si="6" ref="C84:H84">SUM(C80:C83)</f>
        <v>1571975.4284542012</v>
      </c>
      <c r="D84" s="3">
        <f t="shared" si="6"/>
        <v>1102413.9804516672</v>
      </c>
      <c r="E84" s="3">
        <f t="shared" si="6"/>
        <v>254941.76832835947</v>
      </c>
      <c r="F84" s="3">
        <f t="shared" si="6"/>
        <v>82794.59202978639</v>
      </c>
      <c r="G84" s="3">
        <f t="shared" si="6"/>
        <v>96932.88998322387</v>
      </c>
      <c r="H84" s="3">
        <f t="shared" si="6"/>
        <v>34892.197661164275</v>
      </c>
    </row>
    <row r="85" spans="3:8" ht="12.75">
      <c r="C85" s="3"/>
      <c r="D85" s="3"/>
      <c r="E85" s="3"/>
      <c r="F85" s="3"/>
      <c r="G85" s="3"/>
      <c r="H85" s="3"/>
    </row>
    <row r="86" spans="1:10" ht="12.75">
      <c r="A86" t="s">
        <v>41</v>
      </c>
      <c r="C86" s="11">
        <f>C84+C76</f>
        <v>9787848.896226538</v>
      </c>
      <c r="D86" s="11">
        <f>D76+D84</f>
        <v>6228742.807994913</v>
      </c>
      <c r="E86" s="11">
        <f>E76+E84</f>
        <v>1640244.0623397483</v>
      </c>
      <c r="F86" s="11">
        <f>F76+F84</f>
        <v>419996.33899243636</v>
      </c>
      <c r="G86" s="11">
        <f>G84+G76</f>
        <v>792833.0214659385</v>
      </c>
      <c r="H86" s="11">
        <f>H84+H76</f>
        <v>249912.19766116427</v>
      </c>
      <c r="J86" s="3">
        <f>SUM(D84:H84)</f>
        <v>1571975.4284542012</v>
      </c>
    </row>
    <row r="87" spans="3:8" ht="12.75">
      <c r="C87" s="3"/>
      <c r="D87" s="3"/>
      <c r="E87" s="3"/>
      <c r="F87" s="3"/>
      <c r="G87" s="3"/>
      <c r="H87" s="3"/>
    </row>
    <row r="88" spans="1:17" ht="12.75">
      <c r="A88" t="s">
        <v>65</v>
      </c>
      <c r="C88" s="3">
        <f aca="true" t="shared" si="7" ref="C88:H88">C56-C86</f>
        <v>-407233.89622653835</v>
      </c>
      <c r="D88" s="3">
        <f t="shared" si="7"/>
        <v>418578.1920050867</v>
      </c>
      <c r="E88" s="3">
        <f t="shared" si="7"/>
        <v>-228044.06233974826</v>
      </c>
      <c r="F88" s="3">
        <f t="shared" si="7"/>
        <v>114411.66100756364</v>
      </c>
      <c r="G88" s="3">
        <f t="shared" si="7"/>
        <v>-269236.02146593854</v>
      </c>
      <c r="H88" s="3">
        <f t="shared" si="7"/>
        <v>13176.802338835725</v>
      </c>
      <c r="K88" s="49" t="s">
        <v>276</v>
      </c>
      <c r="L88" s="49"/>
      <c r="M88" s="49"/>
      <c r="N88" s="49"/>
      <c r="O88" s="49"/>
      <c r="P88" s="49"/>
      <c r="Q88" s="49"/>
    </row>
    <row r="93" spans="1:4" ht="12.75">
      <c r="A93" s="6" t="s">
        <v>66</v>
      </c>
      <c r="C93" s="2">
        <v>2005</v>
      </c>
      <c r="D93" s="2">
        <v>2006</v>
      </c>
    </row>
    <row r="94" spans="1:4" ht="12.75">
      <c r="A94" t="s">
        <v>67</v>
      </c>
      <c r="C94" s="3">
        <v>785630</v>
      </c>
      <c r="D94" s="3">
        <v>762929</v>
      </c>
    </row>
    <row r="95" spans="1:4" ht="12.75">
      <c r="A95" t="s">
        <v>68</v>
      </c>
      <c r="C95" s="3">
        <v>714856</v>
      </c>
      <c r="D95" s="3">
        <v>692471</v>
      </c>
    </row>
    <row r="96" spans="1:4" ht="12.75">
      <c r="A96" t="s">
        <v>69</v>
      </c>
      <c r="C96" s="3">
        <v>826013</v>
      </c>
      <c r="D96" s="3">
        <v>833029</v>
      </c>
    </row>
    <row r="97" spans="1:4" ht="12.75">
      <c r="A97" t="s">
        <v>32</v>
      </c>
      <c r="C97" s="4">
        <v>97684</v>
      </c>
      <c r="D97" s="4">
        <v>98532</v>
      </c>
    </row>
    <row r="98" spans="3:4" ht="12.75">
      <c r="C98" s="5">
        <f>SUM(C94:C97)</f>
        <v>2424183</v>
      </c>
      <c r="D98" s="5">
        <f>SUM(D94:D97)</f>
        <v>2386961</v>
      </c>
    </row>
    <row r="101" ht="12.75">
      <c r="A101" s="6" t="s">
        <v>70</v>
      </c>
    </row>
    <row r="102" spans="1:6" ht="12.75">
      <c r="A102" t="s">
        <v>19</v>
      </c>
      <c r="C102" s="3">
        <v>2309817</v>
      </c>
      <c r="D102" s="3">
        <v>2335531</v>
      </c>
      <c r="F102" t="s">
        <v>71</v>
      </c>
    </row>
    <row r="103" spans="1:6" ht="12.75">
      <c r="A103" t="s">
        <v>72</v>
      </c>
      <c r="C103" s="3">
        <v>1299888</v>
      </c>
      <c r="D103" s="3">
        <v>1305910</v>
      </c>
      <c r="F103" t="s">
        <v>73</v>
      </c>
    </row>
    <row r="104" spans="1:6" ht="12.75">
      <c r="A104" t="s">
        <v>74</v>
      </c>
      <c r="C104" s="3">
        <v>12000</v>
      </c>
      <c r="D104" s="3">
        <v>12000</v>
      </c>
      <c r="F104" t="s">
        <v>75</v>
      </c>
    </row>
    <row r="105" spans="1:6" ht="12.75">
      <c r="A105" t="s">
        <v>76</v>
      </c>
      <c r="C105" s="3">
        <v>3410</v>
      </c>
      <c r="D105" s="3">
        <v>3410</v>
      </c>
      <c r="F105" t="s">
        <v>77</v>
      </c>
    </row>
    <row r="106" spans="1:6" ht="12.75">
      <c r="A106" t="s">
        <v>78</v>
      </c>
      <c r="C106" s="3">
        <v>30944</v>
      </c>
      <c r="D106" s="3">
        <v>31675</v>
      </c>
      <c r="F106" t="s">
        <v>79</v>
      </c>
    </row>
    <row r="107" spans="1:4" ht="12.75">
      <c r="A107" t="s">
        <v>29</v>
      </c>
      <c r="C107" s="3">
        <v>19856</v>
      </c>
      <c r="D107" s="3">
        <v>20042</v>
      </c>
    </row>
    <row r="108" spans="1:4" ht="12.75">
      <c r="A108" t="s">
        <v>31</v>
      </c>
      <c r="C108" s="11">
        <v>21996</v>
      </c>
      <c r="D108" s="11">
        <v>22616</v>
      </c>
    </row>
    <row r="109" spans="1:4" ht="12.75">
      <c r="A109" t="s">
        <v>80</v>
      </c>
      <c r="C109" s="11">
        <f>'New Cost Centers'!M37</f>
        <v>258978.63272227923</v>
      </c>
      <c r="D109" s="11">
        <f>'New Cost Centers'!P37</f>
        <v>260501.06883479617</v>
      </c>
    </row>
    <row r="110" spans="1:4" ht="12.75">
      <c r="A110" t="s">
        <v>256</v>
      </c>
      <c r="C110" s="4">
        <f>'New Cost Centers'!L57</f>
        <v>23804.835050058773</v>
      </c>
      <c r="D110" s="4">
        <f>'New Cost Centers'!M57</f>
        <v>25462.548471581245</v>
      </c>
    </row>
    <row r="111" spans="3:4" ht="12.75">
      <c r="C111" s="11">
        <f>SUM(C102:C110)</f>
        <v>3980694.4677723376</v>
      </c>
      <c r="D111" s="11">
        <f>SUM(D102:D110)</f>
        <v>4017147.6173063773</v>
      </c>
    </row>
    <row r="112" spans="3:4" ht="12.75">
      <c r="C112" s="3"/>
      <c r="D112" s="3"/>
    </row>
    <row r="113" spans="1:4" ht="12.75">
      <c r="A113" s="6" t="s">
        <v>81</v>
      </c>
      <c r="C113" s="3"/>
      <c r="D113" s="3"/>
    </row>
    <row r="114" spans="1:6" ht="12.75">
      <c r="A114" t="s">
        <v>82</v>
      </c>
      <c r="C114" s="13">
        <v>24612</v>
      </c>
      <c r="D114" s="13">
        <v>32509</v>
      </c>
      <c r="E114" s="14"/>
      <c r="F114" s="15"/>
    </row>
    <row r="115" spans="1:4" ht="12.75">
      <c r="A115" t="s">
        <v>44</v>
      </c>
      <c r="C115" s="3">
        <v>2374740</v>
      </c>
      <c r="D115" s="3">
        <f>2395689</f>
        <v>2395689</v>
      </c>
    </row>
    <row r="116" spans="1:4" ht="12.75">
      <c r="A116" t="s">
        <v>45</v>
      </c>
      <c r="C116" s="3">
        <v>750770</v>
      </c>
      <c r="D116" s="3">
        <v>755591</v>
      </c>
    </row>
    <row r="117" spans="1:4" ht="12.75">
      <c r="A117" t="s">
        <v>46</v>
      </c>
      <c r="C117" s="3">
        <v>72536</v>
      </c>
      <c r="D117" s="3">
        <v>72146</v>
      </c>
    </row>
    <row r="118" spans="1:4" ht="12.75">
      <c r="A118" t="s">
        <v>47</v>
      </c>
      <c r="C118" s="4">
        <v>321462</v>
      </c>
      <c r="D118" s="4">
        <v>332817</v>
      </c>
    </row>
    <row r="119" spans="3:4" ht="12.75">
      <c r="C119" s="3">
        <f>SUM(C114:C118)</f>
        <v>3544120</v>
      </c>
      <c r="D119" s="3">
        <f>SUM(D114:D118)</f>
        <v>3588752</v>
      </c>
    </row>
    <row r="120" spans="3:4" ht="12.75">
      <c r="C120" s="3"/>
      <c r="D120" s="3"/>
    </row>
    <row r="121" spans="1:4" ht="12.75">
      <c r="A121" t="s">
        <v>83</v>
      </c>
      <c r="C121" s="3">
        <f>C111-C119</f>
        <v>436574.4677723376</v>
      </c>
      <c r="D121" s="3">
        <f>D111-D119</f>
        <v>428395.6173063773</v>
      </c>
    </row>
    <row r="123" ht="12.75">
      <c r="A123" t="s">
        <v>84</v>
      </c>
    </row>
    <row r="125" spans="1:4" ht="12.75">
      <c r="A125" t="s">
        <v>44</v>
      </c>
      <c r="C125" s="3">
        <f>D$53/(D$53+E$53+F$53+G$53)*$C$114</f>
        <v>16332.8275432463</v>
      </c>
      <c r="D125" s="3">
        <f>D$6/(D$6+$E6+F$6+G$6)*$D$114</f>
        <v>21141.08476624775</v>
      </c>
    </row>
    <row r="126" spans="1:4" ht="12.75">
      <c r="A126" t="s">
        <v>45</v>
      </c>
      <c r="C126" s="3">
        <f>E$53/(D$53+E$53+F$53+G$53)*$C$114</f>
        <v>5561.294011388983</v>
      </c>
      <c r="D126" s="3">
        <f>E$6/(D$6+E$6+F$6+G$6)*$D$114</f>
        <v>7670.656533501501</v>
      </c>
    </row>
    <row r="127" spans="1:4" ht="12.75">
      <c r="A127" t="s">
        <v>46</v>
      </c>
      <c r="C127" s="3">
        <f>F$53/(D$53+E$53+F$53+G$53)*$C$114</f>
        <v>601.7469626500167</v>
      </c>
      <c r="D127" s="3">
        <f>F$6/(D$6+E$6+F$6+G$6)*$D$114</f>
        <v>799.9799954601781</v>
      </c>
    </row>
    <row r="128" spans="1:4" ht="12.75">
      <c r="A128" t="s">
        <v>47</v>
      </c>
      <c r="C128" s="4">
        <f>G$53/(D$53+E$53+F$53+G$53)*$C$114</f>
        <v>2116.1314827147</v>
      </c>
      <c r="D128" s="4">
        <f>G$6/(D$6+E$6+F$6+G$6)*$D$114</f>
        <v>2897.278704790572</v>
      </c>
    </row>
    <row r="130" spans="3:4" ht="12.75">
      <c r="C130" s="5">
        <f>SUM(C125:C128)</f>
        <v>24612</v>
      </c>
      <c r="D130" s="5">
        <f>SUM(D125:D128)</f>
        <v>32509</v>
      </c>
    </row>
  </sheetData>
  <sheetProtection/>
  <printOptions/>
  <pageMargins left="0.75" right="0.75" top="1" bottom="1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2"/>
  <sheetViews>
    <sheetView zoomScalePageLayoutView="0" workbookViewId="0" topLeftCell="A51">
      <selection activeCell="C89" sqref="C89"/>
    </sheetView>
  </sheetViews>
  <sheetFormatPr defaultColWidth="9.140625" defaultRowHeight="12.75"/>
  <cols>
    <col min="1" max="1" width="22.7109375" style="0" customWidth="1"/>
    <col min="2" max="2" width="6.421875" style="0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 t="s">
        <v>85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6">
        <v>2005</v>
      </c>
      <c r="D3" s="16"/>
      <c r="E3" s="16">
        <v>2006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7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7" t="s">
        <v>86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 t="s">
        <v>87</v>
      </c>
      <c r="B9" s="1"/>
      <c r="C9" s="18">
        <v>433740</v>
      </c>
      <c r="D9" s="18"/>
      <c r="E9" s="18">
        <v>443508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 t="s">
        <v>88</v>
      </c>
      <c r="B10" s="1"/>
      <c r="C10" s="18">
        <v>182764</v>
      </c>
      <c r="D10" s="18"/>
      <c r="E10" s="18">
        <v>158602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 t="s">
        <v>89</v>
      </c>
      <c r="B11" s="1"/>
      <c r="C11" s="18">
        <v>108743</v>
      </c>
      <c r="D11" s="18"/>
      <c r="E11" s="18">
        <v>77671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 t="s">
        <v>90</v>
      </c>
      <c r="B12" s="1"/>
      <c r="C12" s="12">
        <v>205557</v>
      </c>
      <c r="D12" s="18"/>
      <c r="E12" s="12">
        <v>162702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"/>
      <c r="C13" s="19">
        <f>SUM(C9:C12)</f>
        <v>930804</v>
      </c>
      <c r="D13" s="19"/>
      <c r="E13" s="19">
        <f>SUM(E9:E12)</f>
        <v>842483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7" t="s">
        <v>52</v>
      </c>
      <c r="B14" s="1"/>
      <c r="C14" s="18"/>
      <c r="D14" s="18"/>
      <c r="E14" s="1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 t="s">
        <v>19</v>
      </c>
      <c r="B15" s="1"/>
      <c r="C15" s="18">
        <v>351702</v>
      </c>
      <c r="D15" s="18"/>
      <c r="E15" s="18">
        <v>336582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 t="s">
        <v>91</v>
      </c>
      <c r="B16" s="1"/>
      <c r="C16" s="18">
        <v>41613</v>
      </c>
      <c r="D16" s="18"/>
      <c r="E16" s="18">
        <v>44047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 t="s">
        <v>92</v>
      </c>
      <c r="B17" s="1"/>
      <c r="C17" s="18">
        <v>22783</v>
      </c>
      <c r="D17" s="18"/>
      <c r="E17" s="18">
        <v>16490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 t="s">
        <v>93</v>
      </c>
      <c r="B18" s="1"/>
      <c r="C18" s="18">
        <v>35663</v>
      </c>
      <c r="D18" s="18"/>
      <c r="E18" s="20">
        <v>36782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 t="s">
        <v>94</v>
      </c>
      <c r="B19" s="1"/>
      <c r="C19" s="18">
        <v>59000</v>
      </c>
      <c r="D19" s="18"/>
      <c r="E19" s="18">
        <v>62000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 t="s">
        <v>29</v>
      </c>
      <c r="B20" s="1"/>
      <c r="C20" s="12">
        <v>4387</v>
      </c>
      <c r="D20" s="18"/>
      <c r="E20" s="12">
        <v>4478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25" t="s">
        <v>282</v>
      </c>
      <c r="B21" s="1"/>
      <c r="C21" s="18">
        <f>SUM(C15:C20)</f>
        <v>515148</v>
      </c>
      <c r="D21" s="18"/>
      <c r="E21" s="18">
        <f>SUM(E15:E20)</f>
        <v>500379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8"/>
      <c r="D22" s="18"/>
      <c r="E22" s="1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8"/>
      <c r="D23" s="18"/>
      <c r="E23" s="1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8"/>
      <c r="D24" s="18"/>
      <c r="E24" s="1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8"/>
      <c r="D25" s="18"/>
      <c r="E25" s="1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 t="s">
        <v>95</v>
      </c>
      <c r="B26" s="1"/>
      <c r="C26" s="18">
        <f>'New Cost Centers'!M38</f>
        <v>39433.1252587071</v>
      </c>
      <c r="D26" s="18"/>
      <c r="E26" s="18">
        <f>'New Cost Centers'!P38</f>
        <v>37541.77133617724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 t="s">
        <v>96</v>
      </c>
      <c r="B27" s="1"/>
      <c r="C27" s="20">
        <f>'New Cost Centers'!L64</f>
        <v>1161.2114658565254</v>
      </c>
      <c r="D27" s="20"/>
      <c r="E27" s="20">
        <f>'New Cost Centers'!M64</f>
        <v>1242.0755351990852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 t="s">
        <v>279</v>
      </c>
      <c r="B28" s="1"/>
      <c r="C28" s="12">
        <f>'New Cost Centers'!J84</f>
        <v>96314.9354835872</v>
      </c>
      <c r="D28" s="12"/>
      <c r="E28" s="12">
        <f>'New Cost Centers'!L84</f>
        <v>93203.94731547464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283</v>
      </c>
      <c r="B29" s="1"/>
      <c r="C29" s="19">
        <f>SUM(C26:C28)</f>
        <v>136909.27220815083</v>
      </c>
      <c r="D29" s="19"/>
      <c r="E29" s="19">
        <f>SUM(E26:E28)</f>
        <v>131987.79418685095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8"/>
      <c r="D30" s="18"/>
      <c r="E30" s="1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 t="s">
        <v>65</v>
      </c>
      <c r="B31" s="1"/>
      <c r="C31" s="18">
        <f>C13-C21-C29</f>
        <v>278746.7277918492</v>
      </c>
      <c r="D31" s="18"/>
      <c r="E31" s="18">
        <f>E13-E21-E29</f>
        <v>210116.20581314905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8"/>
      <c r="D32" s="18"/>
      <c r="E32" s="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8"/>
      <c r="D33" s="18"/>
      <c r="E33" s="1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8"/>
      <c r="D34" s="18"/>
      <c r="E34" s="1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7" t="s">
        <v>6</v>
      </c>
      <c r="B35" s="1"/>
      <c r="C35" s="18"/>
      <c r="D35" s="18"/>
      <c r="E35" s="1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8"/>
      <c r="D36" s="18"/>
      <c r="E36" s="1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 t="s">
        <v>97</v>
      </c>
      <c r="B37" s="1"/>
      <c r="C37" s="18">
        <v>1333431</v>
      </c>
      <c r="D37" s="18"/>
      <c r="E37" s="18">
        <v>1192332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8"/>
      <c r="D38" s="18"/>
      <c r="E38" s="1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7" t="s">
        <v>52</v>
      </c>
      <c r="B39" s="1"/>
      <c r="C39" s="18"/>
      <c r="D39" s="18"/>
      <c r="E39" s="1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 t="s">
        <v>98</v>
      </c>
      <c r="B40" s="1"/>
      <c r="C40" s="18">
        <v>689600</v>
      </c>
      <c r="D40" s="18"/>
      <c r="E40" s="18">
        <v>746500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 t="s">
        <v>99</v>
      </c>
      <c r="B41" s="1"/>
      <c r="C41" s="18">
        <f>'Cost Centers'!C21</f>
        <v>8860.428</v>
      </c>
      <c r="D41" s="18"/>
      <c r="E41" s="18">
        <f>'Cost Centers'!E21</f>
        <v>9092.052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 t="s">
        <v>100</v>
      </c>
      <c r="B42" s="1"/>
      <c r="C42" s="18">
        <v>18750</v>
      </c>
      <c r="D42" s="18"/>
      <c r="E42" s="18">
        <v>19373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 t="s">
        <v>101</v>
      </c>
      <c r="B43" s="1"/>
      <c r="C43" s="18">
        <v>98423</v>
      </c>
      <c r="D43" s="18"/>
      <c r="E43" s="18">
        <v>100526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 t="s">
        <v>29</v>
      </c>
      <c r="B44" s="1"/>
      <c r="C44" s="20">
        <v>4679</v>
      </c>
      <c r="D44" s="18"/>
      <c r="E44" s="20">
        <v>4830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9">
        <f>SUM(C40:C44)</f>
        <v>820312.428</v>
      </c>
      <c r="D45" s="19"/>
      <c r="E45" s="19">
        <f>SUM(E40:E44)</f>
        <v>880321.052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8"/>
      <c r="D46" s="18"/>
      <c r="E46" s="1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5" t="s">
        <v>278</v>
      </c>
      <c r="B47" s="1"/>
      <c r="C47" s="12">
        <f>'New Cost Centers'!J85</f>
        <v>137976.76066799797</v>
      </c>
      <c r="D47" s="18"/>
      <c r="E47" s="12">
        <f>'New Cost Centers'!L85</f>
        <v>131907.76420480234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8"/>
      <c r="D48" s="18"/>
      <c r="E48" s="1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7" t="s">
        <v>102</v>
      </c>
      <c r="B49" s="1"/>
      <c r="C49" s="18"/>
      <c r="D49" s="18"/>
      <c r="E49" s="1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8"/>
      <c r="D50" s="18"/>
      <c r="E50" s="1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7" t="s">
        <v>103</v>
      </c>
      <c r="B51" s="1"/>
      <c r="C51" s="18"/>
      <c r="D51" s="18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8"/>
      <c r="D52" s="18"/>
      <c r="E52" s="1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7" t="s">
        <v>86</v>
      </c>
      <c r="B53" s="1"/>
      <c r="C53" s="18"/>
      <c r="D53" s="18"/>
      <c r="E53" s="1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 t="s">
        <v>38</v>
      </c>
      <c r="B54" s="1"/>
      <c r="C54" s="18">
        <v>83628</v>
      </c>
      <c r="D54" s="18"/>
      <c r="E54" s="18">
        <v>81734</v>
      </c>
      <c r="F54" s="1"/>
      <c r="G54" s="1" t="s">
        <v>104</v>
      </c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 t="s">
        <v>105</v>
      </c>
      <c r="B55" s="1"/>
      <c r="C55" s="18">
        <v>74809</v>
      </c>
      <c r="D55" s="18"/>
      <c r="E55" s="18">
        <v>78543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 t="s">
        <v>106</v>
      </c>
      <c r="B56" s="1"/>
      <c r="C56" s="18">
        <v>6130</v>
      </c>
      <c r="D56" s="18"/>
      <c r="E56" s="18">
        <v>6270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 t="s">
        <v>107</v>
      </c>
      <c r="B57" s="1"/>
      <c r="C57" s="12">
        <v>11660</v>
      </c>
      <c r="D57" s="18"/>
      <c r="E57" s="12">
        <v>10740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8">
        <f>SUM(C54:C57)</f>
        <v>176227</v>
      </c>
      <c r="D58" s="18"/>
      <c r="E58" s="18">
        <f>SUM(E54:E57)</f>
        <v>177287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8"/>
      <c r="D59" s="18"/>
      <c r="E59" s="1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8"/>
      <c r="D60" s="18"/>
      <c r="E60" s="1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7" t="s">
        <v>108</v>
      </c>
      <c r="B61" s="1"/>
      <c r="C61" s="18"/>
      <c r="D61" s="18"/>
      <c r="E61" s="1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 t="s">
        <v>109</v>
      </c>
      <c r="B62" s="1"/>
      <c r="C62" s="18">
        <v>148900</v>
      </c>
      <c r="D62" s="18"/>
      <c r="E62" s="18">
        <v>125430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 t="s">
        <v>110</v>
      </c>
      <c r="B63" s="1"/>
      <c r="C63" s="18">
        <v>62388</v>
      </c>
      <c r="D63" s="18"/>
      <c r="E63" s="18">
        <v>54649</v>
      </c>
      <c r="F63" s="1"/>
      <c r="G63" s="1" t="s">
        <v>111</v>
      </c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 t="s">
        <v>112</v>
      </c>
      <c r="B64" s="1"/>
      <c r="C64" s="18">
        <v>107871</v>
      </c>
      <c r="D64" s="18"/>
      <c r="E64" s="18">
        <v>109972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 t="s">
        <v>113</v>
      </c>
      <c r="B65" s="1"/>
      <c r="C65" s="12">
        <v>12000</v>
      </c>
      <c r="D65" s="18"/>
      <c r="E65" s="12">
        <v>12000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8">
        <f>SUM(C62:C65)</f>
        <v>331159</v>
      </c>
      <c r="D66" s="18"/>
      <c r="E66" s="18">
        <f>SUM(E62:E65)</f>
        <v>302051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8"/>
      <c r="D67" s="18"/>
      <c r="E67" s="1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 t="s">
        <v>114</v>
      </c>
      <c r="B68" s="1"/>
      <c r="C68" s="19">
        <f>C58+C66</f>
        <v>507386</v>
      </c>
      <c r="D68" s="19"/>
      <c r="E68" s="19">
        <f>E58+E66</f>
        <v>479338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8"/>
      <c r="D69" s="18"/>
      <c r="E69" s="1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7" t="s">
        <v>52</v>
      </c>
      <c r="B70" s="1"/>
      <c r="C70" s="18"/>
      <c r="D70" s="18"/>
      <c r="E70" s="1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 t="s">
        <v>38</v>
      </c>
      <c r="B71" s="1"/>
      <c r="C71" s="18">
        <v>50177</v>
      </c>
      <c r="D71" s="18"/>
      <c r="E71" s="18">
        <v>49040</v>
      </c>
      <c r="F71" s="1"/>
      <c r="G71" s="1" t="s">
        <v>104</v>
      </c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 t="s">
        <v>19</v>
      </c>
      <c r="B72" s="1"/>
      <c r="C72" s="20">
        <v>53004</v>
      </c>
      <c r="D72" s="18"/>
      <c r="E72" s="20">
        <v>54671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 t="s">
        <v>32</v>
      </c>
      <c r="B73" s="1"/>
      <c r="C73" s="12">
        <v>1723</v>
      </c>
      <c r="D73" s="18"/>
      <c r="E73" s="12">
        <v>1621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 t="s">
        <v>280</v>
      </c>
      <c r="B74" s="1"/>
      <c r="C74" s="20">
        <f>SUM(C71:C73)</f>
        <v>104904</v>
      </c>
      <c r="D74" s="18"/>
      <c r="E74" s="20">
        <f>SUM(E71:E73)</f>
        <v>105332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8"/>
      <c r="D75" s="18"/>
      <c r="E75" s="1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25" t="s">
        <v>278</v>
      </c>
      <c r="B76" s="1"/>
      <c r="C76" s="18">
        <f>'New Cost Centers'!J86</f>
        <v>52501.761762170536</v>
      </c>
      <c r="D76" s="18"/>
      <c r="E76" s="18">
        <f>'New Cost Centers'!L86</f>
        <v>53029.19310930307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25" t="s">
        <v>256</v>
      </c>
      <c r="B77" s="1"/>
      <c r="C77" s="12">
        <f>'New Cost Centers'!L63</f>
        <v>4644.8458634261015</v>
      </c>
      <c r="D77" s="18"/>
      <c r="E77" s="12">
        <f>'New Cost Centers'!M63</f>
        <v>4968.302140796341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8" customHeight="1">
      <c r="A78" s="25" t="s">
        <v>253</v>
      </c>
      <c r="B78" s="1"/>
      <c r="C78" s="12">
        <f>'New Cost Centers'!M44</f>
        <v>5942.8532428377175</v>
      </c>
      <c r="D78" s="18"/>
      <c r="E78" s="12">
        <f>'New Cost Centers'!P44</f>
        <v>6097.908327599651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25" t="s">
        <v>284</v>
      </c>
      <c r="B79" s="1"/>
      <c r="C79" s="19">
        <f>SUM(C76:C78)</f>
        <v>63089.460868434355</v>
      </c>
      <c r="D79" s="19"/>
      <c r="E79" s="19">
        <f>SUM(E76:E78)</f>
        <v>64095.403577699064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8"/>
      <c r="D80" s="18"/>
      <c r="E80" s="1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8"/>
      <c r="D81" s="18"/>
      <c r="E81" s="1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8"/>
      <c r="D82" s="18"/>
      <c r="E82" s="1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</sheetData>
  <sheetProtection/>
  <printOptions/>
  <pageMargins left="0.75" right="0.75" top="1" bottom="1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1"/>
  <sheetViews>
    <sheetView zoomScalePageLayoutView="0" workbookViewId="0" topLeftCell="A90">
      <selection activeCell="H128" sqref="H128"/>
    </sheetView>
  </sheetViews>
  <sheetFormatPr defaultColWidth="9.140625" defaultRowHeight="12.75"/>
  <cols>
    <col min="1" max="1" width="25.140625" style="0" customWidth="1"/>
    <col min="2" max="2" width="7.28125" style="0" customWidth="1"/>
    <col min="3" max="3" width="15.140625" style="0" customWidth="1"/>
    <col min="4" max="4" width="12.28125" style="0" bestFit="1" customWidth="1"/>
    <col min="5" max="5" width="11.7109375" style="0" customWidth="1"/>
    <col min="8" max="8" width="14.8515625" style="0" customWidth="1"/>
    <col min="9" max="9" width="10.140625" style="0" customWidth="1"/>
    <col min="10" max="10" width="9.8515625" style="0" customWidth="1"/>
    <col min="11" max="11" width="10.7109375" style="0" customWidth="1"/>
    <col min="12" max="12" width="10.851562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20">
        <f>E33+E63+E84</f>
        <v>5803343</v>
      </c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6">
        <v>2005</v>
      </c>
      <c r="D4" s="16"/>
      <c r="E4" s="16">
        <v>2006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7" t="s">
        <v>116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6"/>
      <c r="D7" s="16"/>
      <c r="E7" s="16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7" t="s">
        <v>117</v>
      </c>
      <c r="B8" s="1"/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 t="s">
        <v>19</v>
      </c>
      <c r="B9" s="1"/>
      <c r="C9" s="18">
        <v>254399</v>
      </c>
      <c r="D9" s="1"/>
      <c r="E9" s="18">
        <v>261202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 t="s">
        <v>118</v>
      </c>
      <c r="B10" s="1"/>
      <c r="C10" s="18">
        <v>230067</v>
      </c>
      <c r="D10" s="1"/>
      <c r="E10" s="18">
        <v>235906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 t="s">
        <v>29</v>
      </c>
      <c r="B11" s="1"/>
      <c r="C11" s="12">
        <v>7780</v>
      </c>
      <c r="D11" s="1"/>
      <c r="E11" s="12">
        <v>8006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9">
        <f>SUM(C9:C11)</f>
        <v>492246</v>
      </c>
      <c r="D12" s="1"/>
      <c r="E12" s="19">
        <f>SUM(E9:E11)</f>
        <v>505114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7" t="s">
        <v>119</v>
      </c>
      <c r="B14" s="1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 t="s">
        <v>120</v>
      </c>
      <c r="B15" s="21">
        <v>0.064</v>
      </c>
      <c r="C15" s="18">
        <f aca="true" t="shared" si="0" ref="C15:C24">($C$12)*B15</f>
        <v>31503.744000000002</v>
      </c>
      <c r="D15" s="1"/>
      <c r="E15" s="18">
        <f aca="true" t="shared" si="1" ref="E15:E24">$E$12*B15</f>
        <v>32327.296000000002</v>
      </c>
      <c r="F15" s="1">
        <v>17</v>
      </c>
      <c r="G15" s="1"/>
      <c r="H15" s="1" t="s">
        <v>121</v>
      </c>
      <c r="I15" s="1"/>
      <c r="J15" s="1"/>
      <c r="K15" s="1"/>
      <c r="L15" s="1"/>
      <c r="M15" s="1"/>
      <c r="N15" s="1"/>
      <c r="O15" s="1"/>
    </row>
    <row r="16" spans="1:15" ht="12.75">
      <c r="A16" s="1" t="s">
        <v>122</v>
      </c>
      <c r="B16" s="21">
        <v>0.317</v>
      </c>
      <c r="C16" s="18">
        <f t="shared" si="0"/>
        <v>156041.982</v>
      </c>
      <c r="D16" s="1"/>
      <c r="E16" s="18">
        <f t="shared" si="1"/>
        <v>160121.138</v>
      </c>
      <c r="F16" s="1">
        <v>87</v>
      </c>
      <c r="G16" s="1"/>
      <c r="H16" s="1" t="s">
        <v>123</v>
      </c>
      <c r="I16" s="1"/>
      <c r="J16" s="1"/>
      <c r="K16" s="1"/>
      <c r="L16" s="1"/>
      <c r="M16" s="1"/>
      <c r="N16" s="1"/>
      <c r="O16" s="1"/>
    </row>
    <row r="17" spans="1:15" ht="12.75">
      <c r="A17" s="1" t="s">
        <v>124</v>
      </c>
      <c r="B17" s="21">
        <v>0.12</v>
      </c>
      <c r="C17" s="18">
        <f t="shared" si="0"/>
        <v>59069.52</v>
      </c>
      <c r="D17" s="1">
        <v>35</v>
      </c>
      <c r="E17" s="18">
        <f t="shared" si="1"/>
        <v>60613.68</v>
      </c>
      <c r="F17" s="1">
        <v>33</v>
      </c>
      <c r="G17" s="1"/>
      <c r="H17" s="1" t="s">
        <v>125</v>
      </c>
      <c r="I17" s="1"/>
      <c r="J17" s="1"/>
      <c r="K17" s="1"/>
      <c r="L17" s="1"/>
      <c r="M17" s="1"/>
      <c r="N17" s="1"/>
      <c r="O17" s="1"/>
    </row>
    <row r="18" spans="1:15" ht="12.75">
      <c r="A18" s="1" t="s">
        <v>126</v>
      </c>
      <c r="B18" s="21">
        <v>0.308</v>
      </c>
      <c r="C18" s="18">
        <f t="shared" si="0"/>
        <v>151611.768</v>
      </c>
      <c r="D18" s="1"/>
      <c r="E18" s="18">
        <f t="shared" si="1"/>
        <v>155575.112</v>
      </c>
      <c r="F18" s="1">
        <v>84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 t="s">
        <v>38</v>
      </c>
      <c r="B19" s="21">
        <v>0.04</v>
      </c>
      <c r="C19" s="18">
        <f t="shared" si="0"/>
        <v>19689.84</v>
      </c>
      <c r="D19" s="1"/>
      <c r="E19" s="18">
        <f t="shared" si="1"/>
        <v>20204.56</v>
      </c>
      <c r="F19" s="1">
        <f>B19*F25</f>
        <v>11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 t="s">
        <v>127</v>
      </c>
      <c r="B20" s="21">
        <v>0.067</v>
      </c>
      <c r="C20" s="18">
        <f t="shared" si="0"/>
        <v>32980.482</v>
      </c>
      <c r="D20" s="1"/>
      <c r="E20" s="18">
        <f t="shared" si="1"/>
        <v>33842.638</v>
      </c>
      <c r="F20" s="1">
        <v>18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 t="s">
        <v>6</v>
      </c>
      <c r="B21" s="21">
        <v>0.018</v>
      </c>
      <c r="C21" s="18">
        <f t="shared" si="0"/>
        <v>8860.428</v>
      </c>
      <c r="D21" s="1"/>
      <c r="E21" s="18">
        <f t="shared" si="1"/>
        <v>9092.052</v>
      </c>
      <c r="F21" s="1">
        <v>5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 t="s">
        <v>128</v>
      </c>
      <c r="B22" s="21">
        <v>0.013</v>
      </c>
      <c r="C22" s="18">
        <f t="shared" si="0"/>
        <v>6399.197999999999</v>
      </c>
      <c r="D22" s="1"/>
      <c r="E22" s="18">
        <f t="shared" si="1"/>
        <v>6566.482</v>
      </c>
      <c r="F22" s="1">
        <v>3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 t="s">
        <v>129</v>
      </c>
      <c r="B23" s="21">
        <v>0.037</v>
      </c>
      <c r="C23" s="18">
        <f t="shared" si="0"/>
        <v>18213.102</v>
      </c>
      <c r="D23" s="1"/>
      <c r="E23" s="18">
        <f t="shared" si="1"/>
        <v>18689.218</v>
      </c>
      <c r="F23" s="1">
        <v>10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 t="s">
        <v>5</v>
      </c>
      <c r="B24" s="21">
        <v>0.016</v>
      </c>
      <c r="C24" s="12">
        <f t="shared" si="0"/>
        <v>7875.936000000001</v>
      </c>
      <c r="D24" s="1"/>
      <c r="E24" s="12">
        <f t="shared" si="1"/>
        <v>8081.8240000000005</v>
      </c>
      <c r="F24" s="1">
        <v>4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9">
        <f>SUM(C15:C24)</f>
        <v>492246</v>
      </c>
      <c r="D25" s="1"/>
      <c r="E25" s="19">
        <f>SUM(E15:E24)</f>
        <v>505114.00000000006</v>
      </c>
      <c r="F25" s="1">
        <v>275</v>
      </c>
      <c r="G25" s="1">
        <f>SUM(F15:F24)</f>
        <v>272</v>
      </c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7" t="s">
        <v>130</v>
      </c>
      <c r="B30" s="1"/>
      <c r="C30" s="1"/>
      <c r="D30" s="1"/>
      <c r="E30" s="1"/>
      <c r="F30" s="1"/>
      <c r="G30" s="1"/>
      <c r="H30" s="1" t="s">
        <v>131</v>
      </c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7">
        <v>2005</v>
      </c>
      <c r="M31" s="17">
        <v>2006</v>
      </c>
      <c r="N31" s="1"/>
      <c r="O31" s="1"/>
    </row>
    <row r="32" spans="1:15" ht="12.75">
      <c r="A32" s="17" t="s">
        <v>132</v>
      </c>
      <c r="B32" s="1"/>
      <c r="C32" s="1"/>
      <c r="D32" s="1"/>
      <c r="E32" s="1"/>
      <c r="F32" s="1"/>
      <c r="G32" s="1"/>
      <c r="H32" s="1" t="s">
        <v>133</v>
      </c>
      <c r="I32" s="1"/>
      <c r="J32" s="1">
        <v>4400</v>
      </c>
      <c r="K32" s="1"/>
      <c r="N32" s="1"/>
      <c r="O32" s="1"/>
    </row>
    <row r="33" spans="1:15" ht="12.75">
      <c r="A33" s="1" t="s">
        <v>19</v>
      </c>
      <c r="B33" s="1"/>
      <c r="C33" s="18">
        <v>1597348</v>
      </c>
      <c r="D33" s="18"/>
      <c r="E33" s="18">
        <v>1772406</v>
      </c>
      <c r="F33" s="1"/>
      <c r="G33" s="1"/>
      <c r="H33" s="1" t="s">
        <v>134</v>
      </c>
      <c r="I33" s="1"/>
      <c r="J33" s="1">
        <v>1400</v>
      </c>
      <c r="K33" s="1"/>
      <c r="L33" s="18">
        <f>$C$57*(J33/$J$47)</f>
        <v>7816.038629283489</v>
      </c>
      <c r="M33" s="18">
        <f aca="true" t="shared" si="2" ref="M33:M46">$E$57*(J33/$J$47)</f>
        <v>8349.647102803738</v>
      </c>
      <c r="N33" s="1"/>
      <c r="O33" s="1"/>
    </row>
    <row r="34" spans="1:15" ht="12.75">
      <c r="A34" s="1" t="s">
        <v>135</v>
      </c>
      <c r="B34" s="1"/>
      <c r="C34" s="18">
        <v>192000</v>
      </c>
      <c r="D34" s="18"/>
      <c r="E34" s="18">
        <v>200000</v>
      </c>
      <c r="F34" s="1"/>
      <c r="G34" s="1"/>
      <c r="H34" s="1" t="s">
        <v>136</v>
      </c>
      <c r="I34" s="1"/>
      <c r="J34" s="1">
        <v>3700</v>
      </c>
      <c r="K34" s="1"/>
      <c r="L34" s="18">
        <f aca="true" t="shared" si="3" ref="L34:L46">$C$57*(J34/$J$47)</f>
        <v>20656.67352024922</v>
      </c>
      <c r="M34" s="18">
        <f t="shared" si="2"/>
        <v>22066.924485981308</v>
      </c>
      <c r="N34" s="1"/>
      <c r="O34" s="1"/>
    </row>
    <row r="35" spans="1:15" ht="12.75">
      <c r="A35" s="1" t="s">
        <v>137</v>
      </c>
      <c r="B35" s="1"/>
      <c r="C35" s="18">
        <v>46700</v>
      </c>
      <c r="D35" s="18"/>
      <c r="E35" s="18">
        <v>47200</v>
      </c>
      <c r="F35" s="1"/>
      <c r="G35" s="1"/>
      <c r="H35" s="1" t="s">
        <v>44</v>
      </c>
      <c r="I35" s="1"/>
      <c r="J35" s="1">
        <v>18800</v>
      </c>
      <c r="K35" s="1"/>
      <c r="L35" s="18">
        <f t="shared" si="3"/>
        <v>104958.23302180685</v>
      </c>
      <c r="M35" s="18">
        <f t="shared" si="2"/>
        <v>112123.83252336449</v>
      </c>
      <c r="N35" s="18">
        <f>L34+L35</f>
        <v>125614.90654205607</v>
      </c>
      <c r="O35" s="18">
        <f>M34+M35</f>
        <v>134190.7570093458</v>
      </c>
    </row>
    <row r="36" spans="1:15" ht="12.75">
      <c r="A36" s="1" t="s">
        <v>138</v>
      </c>
      <c r="B36" s="1"/>
      <c r="C36" s="18">
        <v>8674</v>
      </c>
      <c r="D36" s="18"/>
      <c r="E36" s="18">
        <v>8846</v>
      </c>
      <c r="F36" s="1"/>
      <c r="G36" s="1"/>
      <c r="H36" s="1" t="s">
        <v>46</v>
      </c>
      <c r="I36" s="1"/>
      <c r="J36" s="1">
        <v>800</v>
      </c>
      <c r="K36" s="1"/>
      <c r="L36" s="18">
        <f t="shared" si="3"/>
        <v>4466.307788161994</v>
      </c>
      <c r="M36" s="18">
        <f t="shared" si="2"/>
        <v>4771.22691588785</v>
      </c>
      <c r="N36" s="1"/>
      <c r="O36" s="1"/>
    </row>
    <row r="37" spans="1:15" ht="12.75">
      <c r="A37" s="1" t="s">
        <v>29</v>
      </c>
      <c r="B37" s="1"/>
      <c r="C37" s="18">
        <v>12101</v>
      </c>
      <c r="D37" s="18"/>
      <c r="E37" s="18">
        <v>12456</v>
      </c>
      <c r="F37" s="1"/>
      <c r="G37" s="1"/>
      <c r="H37" s="1" t="s">
        <v>139</v>
      </c>
      <c r="I37" s="1"/>
      <c r="J37" s="1">
        <v>1200</v>
      </c>
      <c r="K37" s="1"/>
      <c r="L37" s="18">
        <f t="shared" si="3"/>
        <v>6699.461682242991</v>
      </c>
      <c r="M37" s="18">
        <f t="shared" si="2"/>
        <v>7156.840373831776</v>
      </c>
      <c r="N37" s="1"/>
      <c r="O37" s="1"/>
    </row>
    <row r="38" spans="1:15" ht="12.75">
      <c r="A38" s="1" t="s">
        <v>140</v>
      </c>
      <c r="B38" s="1"/>
      <c r="C38" s="18">
        <v>1209</v>
      </c>
      <c r="D38" s="18"/>
      <c r="E38" s="18">
        <v>1185</v>
      </c>
      <c r="F38" s="1"/>
      <c r="G38" s="1"/>
      <c r="H38" s="1" t="s">
        <v>141</v>
      </c>
      <c r="I38" s="1"/>
      <c r="J38" s="1">
        <v>5500</v>
      </c>
      <c r="K38" s="1"/>
      <c r="L38" s="18">
        <f t="shared" si="3"/>
        <v>30705.866043613707</v>
      </c>
      <c r="M38" s="18">
        <f t="shared" si="2"/>
        <v>32802.18504672897</v>
      </c>
      <c r="N38" s="1"/>
      <c r="O38" s="1"/>
    </row>
    <row r="39" spans="1:15" ht="12.75">
      <c r="A39" s="1" t="s">
        <v>31</v>
      </c>
      <c r="B39" s="1"/>
      <c r="C39" s="18">
        <v>8965</v>
      </c>
      <c r="D39" s="18"/>
      <c r="E39" s="18">
        <v>9352</v>
      </c>
      <c r="F39" s="1"/>
      <c r="G39" s="1"/>
      <c r="H39" s="1" t="s">
        <v>60</v>
      </c>
      <c r="I39" s="1"/>
      <c r="J39" s="1">
        <v>4100</v>
      </c>
      <c r="K39" s="1"/>
      <c r="L39" s="18">
        <f t="shared" si="3"/>
        <v>22889.82741433022</v>
      </c>
      <c r="M39" s="18">
        <f t="shared" si="2"/>
        <v>24452.537943925236</v>
      </c>
      <c r="N39" s="1"/>
      <c r="O39" s="1"/>
    </row>
    <row r="40" spans="1:15" ht="12.75">
      <c r="A40" s="1" t="s">
        <v>142</v>
      </c>
      <c r="B40" s="1"/>
      <c r="C40" s="18">
        <v>51972</v>
      </c>
      <c r="D40" s="18"/>
      <c r="E40" s="18">
        <v>53772</v>
      </c>
      <c r="F40" s="1"/>
      <c r="G40" s="1"/>
      <c r="H40" s="1" t="s">
        <v>38</v>
      </c>
      <c r="I40" s="1"/>
      <c r="J40" s="1">
        <v>1700</v>
      </c>
      <c r="K40" s="1"/>
      <c r="L40" s="18">
        <f t="shared" si="3"/>
        <v>9490.904049844237</v>
      </c>
      <c r="M40" s="18">
        <f t="shared" si="2"/>
        <v>10138.857196261682</v>
      </c>
      <c r="N40" s="1"/>
      <c r="O40" s="1"/>
    </row>
    <row r="41" spans="1:15" ht="12.75">
      <c r="A41" s="1" t="s">
        <v>143</v>
      </c>
      <c r="B41" s="1"/>
      <c r="C41" s="18"/>
      <c r="D41" s="18"/>
      <c r="E41" s="18"/>
      <c r="F41" s="1"/>
      <c r="G41" s="1"/>
      <c r="H41" s="1" t="s">
        <v>144</v>
      </c>
      <c r="I41" s="1"/>
      <c r="J41" s="1">
        <v>754300</v>
      </c>
      <c r="K41" s="1"/>
      <c r="L41" s="18">
        <f t="shared" si="3"/>
        <v>4211169.95576324</v>
      </c>
      <c r="M41" s="18">
        <f t="shared" si="2"/>
        <v>4498670.578317757</v>
      </c>
      <c r="N41" s="18">
        <f>L38+L41+L37</f>
        <v>4248575.283489097</v>
      </c>
      <c r="O41" s="18">
        <f>M38+M41+M37</f>
        <v>4538629.603738317</v>
      </c>
    </row>
    <row r="42" spans="1:15" ht="12.75">
      <c r="A42" s="1" t="s">
        <v>145</v>
      </c>
      <c r="B42" s="1"/>
      <c r="C42" s="18">
        <v>26987</v>
      </c>
      <c r="D42" s="18"/>
      <c r="E42" s="18">
        <v>27382</v>
      </c>
      <c r="F42" s="1"/>
      <c r="G42" s="1"/>
      <c r="H42" s="1" t="s">
        <v>146</v>
      </c>
      <c r="I42" s="1"/>
      <c r="J42" s="1">
        <v>1700</v>
      </c>
      <c r="K42" s="1"/>
      <c r="L42" s="18">
        <f t="shared" si="3"/>
        <v>9490.904049844237</v>
      </c>
      <c r="M42" s="18">
        <f t="shared" si="2"/>
        <v>10138.857196261682</v>
      </c>
      <c r="N42" s="1"/>
      <c r="O42" s="1"/>
    </row>
    <row r="43" spans="1:15" ht="12.75">
      <c r="A43" s="1" t="s">
        <v>147</v>
      </c>
      <c r="B43" s="1"/>
      <c r="C43" s="18">
        <v>55100</v>
      </c>
      <c r="D43" s="18"/>
      <c r="E43" s="18">
        <v>58753</v>
      </c>
      <c r="F43" s="1"/>
      <c r="G43" s="1"/>
      <c r="H43" s="1" t="s">
        <v>45</v>
      </c>
      <c r="I43" s="1"/>
      <c r="J43" s="1">
        <v>3600</v>
      </c>
      <c r="K43" s="1"/>
      <c r="L43" s="18">
        <f t="shared" si="3"/>
        <v>20098.38504672897</v>
      </c>
      <c r="M43" s="18">
        <f t="shared" si="2"/>
        <v>21470.521121495327</v>
      </c>
      <c r="N43" s="1"/>
      <c r="O43" s="1"/>
    </row>
    <row r="44" spans="1:15" ht="12.75">
      <c r="A44" s="1" t="s">
        <v>148</v>
      </c>
      <c r="B44" s="1"/>
      <c r="C44" s="18">
        <v>19878</v>
      </c>
      <c r="D44" s="18"/>
      <c r="E44" s="18">
        <v>20066</v>
      </c>
      <c r="F44" s="1"/>
      <c r="G44" s="1"/>
      <c r="H44" s="1" t="s">
        <v>149</v>
      </c>
      <c r="I44" s="1"/>
      <c r="J44" s="1">
        <v>300</v>
      </c>
      <c r="K44" s="1"/>
      <c r="L44" s="18">
        <f t="shared" si="3"/>
        <v>1674.8654205607477</v>
      </c>
      <c r="M44" s="18">
        <f t="shared" si="2"/>
        <v>1789.210093457944</v>
      </c>
      <c r="N44" s="1"/>
      <c r="O44" s="1"/>
    </row>
    <row r="45" spans="1:15" ht="12.75">
      <c r="A45" s="1" t="s">
        <v>150</v>
      </c>
      <c r="B45" s="1"/>
      <c r="C45" s="18">
        <v>16573</v>
      </c>
      <c r="D45" s="18"/>
      <c r="E45" s="18">
        <v>14606</v>
      </c>
      <c r="F45" s="1"/>
      <c r="G45" s="1"/>
      <c r="H45" s="1" t="s">
        <v>151</v>
      </c>
      <c r="I45" s="1"/>
      <c r="J45" s="1">
        <v>800</v>
      </c>
      <c r="K45" s="1"/>
      <c r="L45" s="18">
        <f t="shared" si="3"/>
        <v>4466.307788161994</v>
      </c>
      <c r="M45" s="18">
        <f t="shared" si="2"/>
        <v>4771.22691588785</v>
      </c>
      <c r="N45" s="1"/>
      <c r="O45" s="1"/>
    </row>
    <row r="46" spans="1:15" ht="12.75">
      <c r="A46" s="1" t="s">
        <v>153</v>
      </c>
      <c r="B46" s="1"/>
      <c r="C46" s="18">
        <v>19062</v>
      </c>
      <c r="D46" s="18"/>
      <c r="E46" s="18">
        <v>18742</v>
      </c>
      <c r="F46" s="1"/>
      <c r="G46" s="1"/>
      <c r="H46" s="1" t="s">
        <v>5</v>
      </c>
      <c r="I46" s="1"/>
      <c r="J46" s="17">
        <v>200</v>
      </c>
      <c r="K46" s="1"/>
      <c r="L46" s="12">
        <f t="shared" si="3"/>
        <v>1116.5769470404985</v>
      </c>
      <c r="M46" s="12">
        <f t="shared" si="2"/>
        <v>1192.8067289719625</v>
      </c>
      <c r="N46" s="1"/>
      <c r="O46" s="1"/>
    </row>
    <row r="47" spans="6:15" ht="12.75">
      <c r="F47" s="1"/>
      <c r="G47" s="1"/>
      <c r="H47" s="1"/>
      <c r="I47" s="1"/>
      <c r="J47" s="1">
        <f>SUM(J32:J46)</f>
        <v>802500</v>
      </c>
      <c r="K47" s="1"/>
      <c r="L47" s="18">
        <f>SUM(L32:L46)</f>
        <v>4455700.30716511</v>
      </c>
      <c r="M47" s="18">
        <f>SUM(M32:M46)</f>
        <v>4759895.251962617</v>
      </c>
      <c r="N47" s="1"/>
      <c r="O47" s="1"/>
    </row>
    <row r="48" spans="1:15" ht="12.75">
      <c r="A48" s="1"/>
      <c r="B48" s="1"/>
      <c r="C48" s="18">
        <f>SUM(C33:C46)</f>
        <v>2056569</v>
      </c>
      <c r="D48" s="18"/>
      <c r="E48" s="18">
        <f>SUM(E33:E46)</f>
        <v>2244766</v>
      </c>
      <c r="F48" s="1"/>
      <c r="G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N49" s="1"/>
      <c r="O49" s="1"/>
    </row>
    <row r="50" spans="1:15" ht="12.75">
      <c r="A50" s="17" t="s">
        <v>155</v>
      </c>
      <c r="B50" s="1"/>
      <c r="C50" s="1"/>
      <c r="D50" s="1"/>
      <c r="E50" s="1"/>
      <c r="F50" s="1"/>
      <c r="G50" s="1"/>
      <c r="N50" s="1"/>
      <c r="O50" s="1"/>
    </row>
    <row r="51" spans="1:15" ht="12.75">
      <c r="A51" s="1" t="s">
        <v>156</v>
      </c>
      <c r="B51" s="1"/>
      <c r="C51" s="18">
        <v>968984</v>
      </c>
      <c r="D51" s="18"/>
      <c r="E51" s="18">
        <v>1039806</v>
      </c>
      <c r="F51" s="1"/>
      <c r="G51" s="1"/>
      <c r="O51" s="1"/>
    </row>
    <row r="52" spans="1:16" ht="12.75">
      <c r="A52" s="1" t="s">
        <v>157</v>
      </c>
      <c r="B52" s="1"/>
      <c r="C52" s="18">
        <v>526033</v>
      </c>
      <c r="D52" s="18"/>
      <c r="E52" s="18">
        <v>542776</v>
      </c>
      <c r="F52" s="1"/>
      <c r="G52" s="1"/>
      <c r="O52" s="1"/>
      <c r="P52" s="1"/>
    </row>
    <row r="53" spans="1:16" ht="12.75">
      <c r="A53" s="1" t="s">
        <v>158</v>
      </c>
      <c r="B53" s="1"/>
      <c r="C53" s="12">
        <v>322809</v>
      </c>
      <c r="D53" s="12"/>
      <c r="E53" s="12">
        <v>344044</v>
      </c>
      <c r="F53" s="1"/>
      <c r="G53" s="1"/>
      <c r="O53" s="1"/>
      <c r="P53" s="1"/>
    </row>
    <row r="54" spans="1:16" ht="12.75">
      <c r="A54" s="1"/>
      <c r="B54" s="1"/>
      <c r="C54" s="20">
        <f>SUM(C51:C53)</f>
        <v>1817826</v>
      </c>
      <c r="D54" s="12"/>
      <c r="E54" s="20">
        <f>SUM(E51:E53)</f>
        <v>1926626</v>
      </c>
      <c r="F54" s="1"/>
      <c r="G54" s="1"/>
      <c r="N54" s="1"/>
      <c r="O54" s="1"/>
      <c r="P54" s="1"/>
    </row>
    <row r="55" spans="1:15" ht="12.75">
      <c r="A55" s="1" t="s">
        <v>160</v>
      </c>
      <c r="B55" s="1"/>
      <c r="C55" s="12">
        <v>605870</v>
      </c>
      <c r="D55" s="12"/>
      <c r="E55" s="12">
        <v>614745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8"/>
      <c r="D56" s="18"/>
      <c r="E56" s="18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 t="s">
        <v>161</v>
      </c>
      <c r="B57" s="1"/>
      <c r="C57" s="19">
        <f>C48+C54+C55</f>
        <v>4480265</v>
      </c>
      <c r="D57" s="19"/>
      <c r="E57" s="19">
        <f>E48+E54+E55</f>
        <v>4786137</v>
      </c>
      <c r="F57" s="1"/>
      <c r="G57" s="1"/>
      <c r="H57" s="1"/>
      <c r="I57" s="1"/>
      <c r="J57" s="1"/>
      <c r="K57" s="1"/>
      <c r="L57" s="17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7" t="s">
        <v>162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7" t="s">
        <v>164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 t="s">
        <v>165</v>
      </c>
      <c r="B63" s="1"/>
      <c r="C63" s="18">
        <v>1818480</v>
      </c>
      <c r="D63" s="18"/>
      <c r="E63" s="18">
        <v>1918701</v>
      </c>
      <c r="F63" s="1"/>
      <c r="G63" s="1" t="s">
        <v>163</v>
      </c>
      <c r="H63" s="1"/>
      <c r="I63" s="1"/>
      <c r="J63" s="1"/>
      <c r="K63" s="1"/>
      <c r="L63" s="1"/>
      <c r="M63" s="1"/>
      <c r="N63" s="1"/>
      <c r="O63" s="1"/>
    </row>
    <row r="64" spans="1:15" ht="12.75">
      <c r="A64" s="1" t="s">
        <v>166</v>
      </c>
      <c r="B64" s="1"/>
      <c r="C64" s="18">
        <v>9355</v>
      </c>
      <c r="D64" s="18"/>
      <c r="E64" s="18">
        <v>9469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 t="s">
        <v>168</v>
      </c>
      <c r="B65" s="1"/>
      <c r="C65" s="18">
        <v>92751</v>
      </c>
      <c r="D65" s="18"/>
      <c r="E65" s="18">
        <v>107849</v>
      </c>
      <c r="F65" s="1"/>
      <c r="G65" s="1"/>
      <c r="H65" s="1"/>
      <c r="I65" s="17">
        <v>2005</v>
      </c>
      <c r="J65" s="17"/>
      <c r="K65" s="17">
        <v>2006</v>
      </c>
      <c r="L65" s="1"/>
      <c r="M65" s="1"/>
      <c r="N65" s="1"/>
      <c r="O65" s="1"/>
    </row>
    <row r="66" spans="1:15" ht="12.75">
      <c r="A66" s="1" t="s">
        <v>170</v>
      </c>
      <c r="B66" s="1"/>
      <c r="C66" s="18">
        <v>28621</v>
      </c>
      <c r="D66" s="18"/>
      <c r="E66" s="18">
        <v>32865</v>
      </c>
      <c r="F66" s="1"/>
      <c r="G66" s="1"/>
      <c r="H66" s="1" t="s">
        <v>167</v>
      </c>
      <c r="I66" s="18">
        <f>Rooms!C13</f>
        <v>27091264.04</v>
      </c>
      <c r="J66" s="18">
        <f aca="true" t="shared" si="4" ref="J66:J74">(I66/$I$75)*$C$110</f>
        <v>4256564.753307249</v>
      </c>
      <c r="K66" s="18">
        <f>Rooms!E13</f>
        <v>27307689.08</v>
      </c>
      <c r="L66" s="18">
        <f aca="true" t="shared" si="5" ref="L66:L74">(K66/$K$75)*$E$110</f>
        <v>4572906.199026853</v>
      </c>
      <c r="M66" s="1"/>
      <c r="N66" s="1"/>
      <c r="O66" s="1"/>
    </row>
    <row r="67" spans="1:15" ht="12.75">
      <c r="A67" s="1" t="s">
        <v>171</v>
      </c>
      <c r="B67" s="1"/>
      <c r="C67" s="18">
        <v>39744</v>
      </c>
      <c r="D67" s="18"/>
      <c r="E67" s="18">
        <v>46543</v>
      </c>
      <c r="F67" s="20">
        <f>E65-C65</f>
        <v>15098</v>
      </c>
      <c r="G67" s="1"/>
      <c r="H67" s="1" t="s">
        <v>169</v>
      </c>
      <c r="I67" s="18">
        <f>F_B!D56</f>
        <v>6647321</v>
      </c>
      <c r="J67" s="18">
        <f t="shared" si="4"/>
        <v>1044423.4802311978</v>
      </c>
      <c r="K67" s="18">
        <f>F_B!D9</f>
        <v>6513192</v>
      </c>
      <c r="L67" s="18">
        <f t="shared" si="5"/>
        <v>1090689.7315623057</v>
      </c>
      <c r="M67" s="1"/>
      <c r="N67" s="1"/>
      <c r="O67" s="1"/>
    </row>
    <row r="68" spans="1:15" ht="12.75">
      <c r="A68" s="1" t="s">
        <v>173</v>
      </c>
      <c r="B68" s="1"/>
      <c r="C68" s="18">
        <v>9620</v>
      </c>
      <c r="D68" s="18"/>
      <c r="E68" s="18">
        <v>10242</v>
      </c>
      <c r="F68" s="1"/>
      <c r="G68" s="1"/>
      <c r="H68" s="1" t="s">
        <v>45</v>
      </c>
      <c r="I68" s="18">
        <f>F_B!E56</f>
        <v>1412200</v>
      </c>
      <c r="J68" s="18">
        <f t="shared" si="4"/>
        <v>221884.10019352118</v>
      </c>
      <c r="K68" s="18">
        <f>F_B!E9</f>
        <v>1473296</v>
      </c>
      <c r="L68" s="18">
        <f t="shared" si="5"/>
        <v>246716.02169133336</v>
      </c>
      <c r="M68" s="1"/>
      <c r="N68" s="1"/>
      <c r="O68" s="1"/>
    </row>
    <row r="69" spans="1:15" ht="12.75">
      <c r="A69" s="1" t="s">
        <v>174</v>
      </c>
      <c r="B69" s="1"/>
      <c r="C69" s="18">
        <v>730042</v>
      </c>
      <c r="D69" s="18"/>
      <c r="E69" s="18">
        <v>728359</v>
      </c>
      <c r="F69" s="20">
        <f>E67-C67</f>
        <v>6799</v>
      </c>
      <c r="G69" s="1"/>
      <c r="H69" s="1" t="s">
        <v>172</v>
      </c>
      <c r="I69" s="18">
        <f>F_B!F56</f>
        <v>534408</v>
      </c>
      <c r="J69" s="18">
        <f t="shared" si="4"/>
        <v>83965.89591858043</v>
      </c>
      <c r="K69" s="18">
        <f>F_B!F9</f>
        <v>552297</v>
      </c>
      <c r="L69" s="18">
        <f t="shared" si="5"/>
        <v>92486.85846704147</v>
      </c>
      <c r="M69" s="1"/>
      <c r="N69" s="1"/>
      <c r="O69" s="1"/>
    </row>
    <row r="70" spans="1:15" ht="12.75">
      <c r="A70" s="1" t="s">
        <v>175</v>
      </c>
      <c r="B70" s="1"/>
      <c r="C70" s="18">
        <v>19733</v>
      </c>
      <c r="D70" s="18"/>
      <c r="E70" s="18">
        <v>18946</v>
      </c>
      <c r="F70" s="1"/>
      <c r="G70" s="1"/>
      <c r="H70" s="1" t="s">
        <v>47</v>
      </c>
      <c r="I70" s="18">
        <f>F_B!G56</f>
        <v>523597</v>
      </c>
      <c r="J70" s="18">
        <f t="shared" si="4"/>
        <v>82267.2774458484</v>
      </c>
      <c r="K70" s="18">
        <f>F_B!G9</f>
        <v>541735</v>
      </c>
      <c r="L70" s="18">
        <f t="shared" si="5"/>
        <v>90718.16119161015</v>
      </c>
      <c r="M70" s="1"/>
      <c r="N70" s="1"/>
      <c r="O70" s="1"/>
    </row>
    <row r="71" spans="1:15" ht="12.75">
      <c r="A71" s="1" t="s">
        <v>176</v>
      </c>
      <c r="B71" s="1"/>
      <c r="C71" s="18">
        <v>62390</v>
      </c>
      <c r="D71" s="18"/>
      <c r="E71" s="18">
        <v>53421</v>
      </c>
      <c r="F71" s="1"/>
      <c r="G71" s="1"/>
      <c r="H71" s="1" t="s">
        <v>48</v>
      </c>
      <c r="I71" s="18">
        <f>F_B!H56</f>
        <v>263089</v>
      </c>
      <c r="J71" s="18">
        <f t="shared" si="4"/>
        <v>41336.40138494073</v>
      </c>
      <c r="K71" s="18">
        <f>F_B!H9</f>
        <v>274522</v>
      </c>
      <c r="L71" s="18">
        <f t="shared" si="5"/>
        <v>45971.05789111503</v>
      </c>
      <c r="M71" s="1"/>
      <c r="N71" s="1"/>
      <c r="O71" s="1"/>
    </row>
    <row r="72" spans="1:15" ht="12.75">
      <c r="A72" s="1" t="s">
        <v>76</v>
      </c>
      <c r="B72" s="1"/>
      <c r="C72" s="18">
        <v>4791</v>
      </c>
      <c r="D72" s="18"/>
      <c r="E72" s="18">
        <v>4817</v>
      </c>
      <c r="F72" s="1"/>
      <c r="G72" s="1"/>
      <c r="H72" s="1" t="s">
        <v>5</v>
      </c>
      <c r="I72" s="18">
        <f>Other!C13</f>
        <v>930804</v>
      </c>
      <c r="J72" s="18">
        <f t="shared" si="4"/>
        <v>146247.4210427208</v>
      </c>
      <c r="K72" s="18">
        <f>Other!E13</f>
        <v>842483</v>
      </c>
      <c r="L72" s="18">
        <f t="shared" si="5"/>
        <v>141080.98718966154</v>
      </c>
      <c r="M72" s="1"/>
      <c r="N72" s="1"/>
      <c r="O72" s="1"/>
    </row>
    <row r="73" spans="1:15" ht="12.75">
      <c r="A73" s="1" t="s">
        <v>177</v>
      </c>
      <c r="B73" s="1"/>
      <c r="C73" s="18">
        <v>49020</v>
      </c>
      <c r="D73" s="18"/>
      <c r="E73" s="18">
        <v>49716</v>
      </c>
      <c r="F73" s="1"/>
      <c r="G73" s="1"/>
      <c r="H73" s="1" t="s">
        <v>6</v>
      </c>
      <c r="I73" s="18">
        <f>Other!C37</f>
        <v>1333431</v>
      </c>
      <c r="J73" s="18">
        <f t="shared" si="4"/>
        <v>209507.9575167449</v>
      </c>
      <c r="K73" s="18">
        <f>Other!E37</f>
        <v>1192332</v>
      </c>
      <c r="L73" s="18">
        <f t="shared" si="5"/>
        <v>199666.19577822168</v>
      </c>
      <c r="M73" s="1"/>
      <c r="N73" s="1"/>
      <c r="O73" s="1"/>
    </row>
    <row r="74" spans="1:15" ht="12.75">
      <c r="A74" s="1" t="s">
        <v>178</v>
      </c>
      <c r="B74" s="1"/>
      <c r="C74" s="18">
        <v>158732</v>
      </c>
      <c r="D74" s="18"/>
      <c r="E74" s="18">
        <v>169471</v>
      </c>
      <c r="F74" s="1"/>
      <c r="G74" s="1"/>
      <c r="H74" s="1" t="s">
        <v>7</v>
      </c>
      <c r="I74" s="12">
        <f>Other!C68</f>
        <v>507386</v>
      </c>
      <c r="J74" s="12">
        <f t="shared" si="4"/>
        <v>79720.21389377564</v>
      </c>
      <c r="K74" s="12">
        <f>Other!E68</f>
        <v>479338</v>
      </c>
      <c r="L74" s="12">
        <f t="shared" si="5"/>
        <v>80269.24963176466</v>
      </c>
      <c r="M74" s="1"/>
      <c r="N74" s="1"/>
      <c r="O74" s="1"/>
    </row>
    <row r="75" spans="1:15" ht="12.75">
      <c r="A75" s="1" t="s">
        <v>29</v>
      </c>
      <c r="B75" s="1"/>
      <c r="C75" s="18">
        <v>20745</v>
      </c>
      <c r="D75" s="18"/>
      <c r="E75" s="18">
        <v>21762</v>
      </c>
      <c r="F75" s="1"/>
      <c r="G75" s="1"/>
      <c r="H75" s="1"/>
      <c r="I75" s="18">
        <f>SUM(I66:I74)</f>
        <v>39243500.04</v>
      </c>
      <c r="J75" s="18">
        <f>SUM(J66:J74)</f>
        <v>6165917.5009345785</v>
      </c>
      <c r="K75" s="18">
        <f>SUM(K66:K74)</f>
        <v>39176884.08</v>
      </c>
      <c r="L75" s="18">
        <f>SUM(L66:L74)</f>
        <v>6560504.462429905</v>
      </c>
      <c r="M75" s="1"/>
      <c r="N75" s="1"/>
      <c r="O75" s="1"/>
    </row>
    <row r="76" spans="1:15" ht="12.75">
      <c r="A76" s="1" t="s">
        <v>5</v>
      </c>
      <c r="B76" s="1"/>
      <c r="C76" s="18">
        <v>37028</v>
      </c>
      <c r="D76" s="18"/>
      <c r="E76" s="18">
        <v>38755</v>
      </c>
      <c r="F76" s="1"/>
      <c r="G76" s="1"/>
      <c r="H76" s="1"/>
      <c r="I76" s="18"/>
      <c r="J76" s="18"/>
      <c r="K76" s="18"/>
      <c r="L76" s="1"/>
      <c r="M76" s="1"/>
      <c r="N76" s="1"/>
      <c r="O76" s="1"/>
    </row>
    <row r="77" spans="1:15" ht="12.75">
      <c r="A77" s="1" t="s">
        <v>179</v>
      </c>
      <c r="B77" s="1"/>
      <c r="C77" s="18">
        <v>20941</v>
      </c>
      <c r="D77" s="18"/>
      <c r="E77" s="18">
        <v>22970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 t="s">
        <v>32</v>
      </c>
      <c r="B78" s="1"/>
      <c r="C78" s="12">
        <v>15302</v>
      </c>
      <c r="D78" s="12"/>
      <c r="E78" s="12">
        <v>15739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8">
        <f>SUM(C63:C78)</f>
        <v>3117295</v>
      </c>
      <c r="D79" s="18"/>
      <c r="E79" s="18">
        <f>SUM(E63:E78)</f>
        <v>3249625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 t="s">
        <v>80</v>
      </c>
      <c r="B80" s="1"/>
      <c r="C80" s="12">
        <f>C133</f>
        <v>24564.692834890968</v>
      </c>
      <c r="D80" s="12"/>
      <c r="E80" s="12">
        <f>E133</f>
        <v>26241.74803738318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8">
        <f>C79+C80</f>
        <v>3141859.692834891</v>
      </c>
      <c r="D81" s="18"/>
      <c r="E81" s="18">
        <f>E79+E80</f>
        <v>3275866.748037383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8"/>
      <c r="D82" s="18"/>
      <c r="E82" s="18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7" t="s">
        <v>180</v>
      </c>
      <c r="B83" s="1"/>
      <c r="C83" s="18"/>
      <c r="D83" s="18"/>
      <c r="E83" s="18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 t="s">
        <v>19</v>
      </c>
      <c r="B84" s="1"/>
      <c r="C84" s="18">
        <v>2022851</v>
      </c>
      <c r="D84" s="18"/>
      <c r="E84" s="18">
        <v>2112236</v>
      </c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 t="s">
        <v>171</v>
      </c>
      <c r="B85" s="1"/>
      <c r="C85" s="18">
        <v>119573</v>
      </c>
      <c r="D85" s="18"/>
      <c r="E85" s="18">
        <v>123964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 t="s">
        <v>181</v>
      </c>
      <c r="B86" s="1"/>
      <c r="C86" s="18">
        <v>37519</v>
      </c>
      <c r="D86" s="18"/>
      <c r="E86" s="18">
        <v>33892</v>
      </c>
      <c r="F86" s="20">
        <f>E84+E63</f>
        <v>4030937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 t="s">
        <v>175</v>
      </c>
      <c r="B87" s="1"/>
      <c r="C87" s="18">
        <v>47620</v>
      </c>
      <c r="D87" s="18"/>
      <c r="E87" s="18">
        <v>50035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 t="s">
        <v>22</v>
      </c>
      <c r="B88" s="1"/>
      <c r="C88" s="18">
        <v>42170</v>
      </c>
      <c r="D88" s="18"/>
      <c r="E88" s="18">
        <v>50738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 t="s">
        <v>182</v>
      </c>
      <c r="B89" s="1"/>
      <c r="C89" s="18">
        <v>183982</v>
      </c>
      <c r="D89" s="18"/>
      <c r="E89" s="18">
        <v>305632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 t="s">
        <v>183</v>
      </c>
      <c r="B90" s="1"/>
      <c r="C90" s="18">
        <v>21815</v>
      </c>
      <c r="D90" s="18"/>
      <c r="E90" s="18">
        <v>22719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 t="s">
        <v>184</v>
      </c>
      <c r="B91" s="1"/>
      <c r="C91" s="18">
        <v>17833</v>
      </c>
      <c r="D91" s="18"/>
      <c r="E91" s="18">
        <v>16407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 t="s">
        <v>185</v>
      </c>
      <c r="B92" s="1"/>
      <c r="C92" s="18">
        <v>169947</v>
      </c>
      <c r="D92" s="18"/>
      <c r="E92" s="18">
        <v>188605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 t="s">
        <v>29</v>
      </c>
      <c r="B93" s="1"/>
      <c r="C93" s="18">
        <v>19851</v>
      </c>
      <c r="D93" s="18"/>
      <c r="E93" s="18">
        <v>20048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 t="s">
        <v>186</v>
      </c>
      <c r="B94" s="1"/>
      <c r="C94" s="18">
        <v>43862</v>
      </c>
      <c r="D94" s="18"/>
      <c r="E94" s="18">
        <v>45883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 t="s">
        <v>187</v>
      </c>
      <c r="B95" s="1"/>
      <c r="C95" s="18">
        <v>132971</v>
      </c>
      <c r="D95" s="18"/>
      <c r="E95" s="18">
        <v>141076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 t="s">
        <v>31</v>
      </c>
      <c r="B96" s="1"/>
      <c r="C96" s="18">
        <v>2692</v>
      </c>
      <c r="D96" s="18"/>
      <c r="E96" s="18">
        <v>2816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 t="s">
        <v>32</v>
      </c>
      <c r="B97" s="1"/>
      <c r="C97" s="12">
        <v>8206</v>
      </c>
      <c r="D97" s="12"/>
      <c r="E97" s="12">
        <v>8513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8">
        <f>SUM(C84:C97)</f>
        <v>2870892</v>
      </c>
      <c r="D98" s="18"/>
      <c r="E98" s="18">
        <f>SUM(E84:E97)</f>
        <v>3122564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 t="s">
        <v>232</v>
      </c>
      <c r="B99" s="1"/>
      <c r="C99" s="18">
        <v>-150000</v>
      </c>
      <c r="D99" s="18"/>
      <c r="E99" s="18">
        <v>-150000</v>
      </c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 t="s">
        <v>80</v>
      </c>
      <c r="B100" s="1"/>
      <c r="C100" s="12">
        <f>L33+L42</f>
        <v>17306.942679127726</v>
      </c>
      <c r="D100" s="12"/>
      <c r="E100" s="12">
        <f>M33+M42</f>
        <v>18488.50429906542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8">
        <f>C98+C100+C99</f>
        <v>2738198.9426791277</v>
      </c>
      <c r="D101" s="18"/>
      <c r="E101" s="18">
        <f>E98+E100+E99</f>
        <v>2991052.5042990656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8"/>
      <c r="D102" s="18"/>
      <c r="E102" s="18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7" t="s">
        <v>188</v>
      </c>
      <c r="B103" s="1"/>
      <c r="C103" s="18"/>
      <c r="D103" s="18"/>
      <c r="E103" s="18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 t="s">
        <v>19</v>
      </c>
      <c r="B104" s="1"/>
      <c r="C104" s="18">
        <v>280612</v>
      </c>
      <c r="D104" s="18"/>
      <c r="E104" s="18">
        <v>288114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 t="s">
        <v>29</v>
      </c>
      <c r="B105" s="1"/>
      <c r="C105" s="12">
        <v>3572</v>
      </c>
      <c r="D105" s="12"/>
      <c r="E105" s="12">
        <v>3682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8">
        <f>SUM(C104:C105)</f>
        <v>284184</v>
      </c>
      <c r="D106" s="18"/>
      <c r="E106" s="18">
        <f>SUM(E104:E105)</f>
        <v>291796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 t="s">
        <v>80</v>
      </c>
      <c r="B107" s="1"/>
      <c r="C107" s="12">
        <f>L44</f>
        <v>1674.8654205607477</v>
      </c>
      <c r="D107" s="17"/>
      <c r="E107" s="12">
        <f>M44</f>
        <v>1789.210093457944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8">
        <f>C106+C107</f>
        <v>285858.86542056076</v>
      </c>
      <c r="D108" s="1"/>
      <c r="E108" s="18">
        <f>E106+E107</f>
        <v>293585.21009345795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 t="s">
        <v>189</v>
      </c>
      <c r="B110" s="1"/>
      <c r="C110" s="19">
        <f>C81+C101+C108</f>
        <v>6165917.500934579</v>
      </c>
      <c r="D110" s="22"/>
      <c r="E110" s="19">
        <f>E81+E101+E108</f>
        <v>6560504.462429906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7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7" t="s">
        <v>190</v>
      </c>
      <c r="B113" s="1"/>
      <c r="C113" s="1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7" t="s">
        <v>117</v>
      </c>
      <c r="B115" s="1"/>
      <c r="C115" s="1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 t="s">
        <v>19</v>
      </c>
      <c r="B116" s="1"/>
      <c r="C116" s="18">
        <v>596029</v>
      </c>
      <c r="D116" s="1"/>
      <c r="E116" s="18">
        <v>690480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 t="s">
        <v>29</v>
      </c>
      <c r="B117" s="1"/>
      <c r="C117" s="18">
        <v>19690</v>
      </c>
      <c r="D117" s="1"/>
      <c r="E117" s="18">
        <v>20772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 t="s">
        <v>152</v>
      </c>
      <c r="B118" s="1"/>
      <c r="C118" s="18">
        <v>13891</v>
      </c>
      <c r="D118" s="18"/>
      <c r="E118" s="18">
        <v>14310</v>
      </c>
      <c r="F118" s="1"/>
      <c r="G118" s="1"/>
      <c r="H118" s="18"/>
      <c r="I118" s="1"/>
      <c r="J118" s="1"/>
      <c r="K118" s="1"/>
      <c r="L118" s="1"/>
      <c r="M118" s="1"/>
      <c r="N118" s="1"/>
      <c r="O118" s="1"/>
    </row>
    <row r="119" spans="1:15" ht="12.75">
      <c r="A119" s="1" t="s">
        <v>31</v>
      </c>
      <c r="B119" s="1"/>
      <c r="C119" s="12">
        <v>6009</v>
      </c>
      <c r="D119" s="1"/>
      <c r="E119" s="12">
        <v>6411</v>
      </c>
      <c r="I119" s="1"/>
      <c r="J119" s="1"/>
      <c r="K119" s="1"/>
      <c r="L119" s="1"/>
      <c r="M119" s="1"/>
      <c r="N119" s="1"/>
      <c r="O119" s="1"/>
    </row>
    <row r="120" spans="1:15" ht="12.75">
      <c r="A120" s="1" t="s">
        <v>191</v>
      </c>
      <c r="B120" s="1"/>
      <c r="C120" s="12">
        <f>L40</f>
        <v>9490.904049844237</v>
      </c>
      <c r="D120" s="1"/>
      <c r="E120" s="12">
        <f>M40</f>
        <v>10138.857196261682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9">
        <f>SUM(C116:C120)</f>
        <v>645109.9040498442</v>
      </c>
      <c r="D121" s="1"/>
      <c r="E121" s="19">
        <f>SUM(E116:E120)</f>
        <v>742111.8571962616</v>
      </c>
      <c r="F121" s="1"/>
      <c r="G121" s="1"/>
      <c r="M121" s="1"/>
      <c r="N121" s="1"/>
      <c r="O121" s="1"/>
    </row>
    <row r="122" spans="1:15" ht="12.75">
      <c r="A122" s="1"/>
      <c r="B122" s="1"/>
      <c r="C122" s="1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7" t="s">
        <v>192</v>
      </c>
      <c r="B123" s="1"/>
      <c r="C123" s="1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 t="s">
        <v>193</v>
      </c>
      <c r="B124" s="1"/>
      <c r="C124" s="18">
        <f>C129*C121</f>
        <v>80345.38008335301</v>
      </c>
      <c r="D124" s="1"/>
      <c r="E124" s="18">
        <f>E121*D129</f>
        <v>80156.6549375943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 t="s">
        <v>126</v>
      </c>
      <c r="B125" s="1"/>
      <c r="C125" s="12">
        <f>C121*C130</f>
        <v>564764.5239664912</v>
      </c>
      <c r="D125" s="1"/>
      <c r="E125" s="12">
        <f>E121*D130</f>
        <v>661955.2022586673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9">
        <f>SUM(C124:C125)</f>
        <v>645109.9040498442</v>
      </c>
      <c r="D126" s="1"/>
      <c r="E126" s="19">
        <f>SUM(E124:E125)</f>
        <v>742111.8571962616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">
      <c r="A127" s="1"/>
      <c r="B127" s="1"/>
      <c r="C127" s="1"/>
      <c r="D127" s="1"/>
      <c r="E127" s="1"/>
      <c r="F127" s="1"/>
      <c r="G127" s="29" t="s">
        <v>228</v>
      </c>
      <c r="H127" s="29"/>
      <c r="I127" s="29"/>
      <c r="J127" s="29"/>
      <c r="K127" s="29"/>
      <c r="L127" s="1"/>
      <c r="M127" s="1"/>
      <c r="N127" s="1"/>
      <c r="O127" s="1"/>
    </row>
    <row r="128" spans="1:15" ht="12.75">
      <c r="A128" s="1"/>
      <c r="B128" s="25" t="s">
        <v>227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t="s">
        <v>122</v>
      </c>
      <c r="C129" s="30">
        <v>0.124545259</v>
      </c>
      <c r="D129" s="30">
        <v>0.108011554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t="s">
        <v>126</v>
      </c>
      <c r="C130" s="30">
        <v>0.875454741</v>
      </c>
      <c r="D130" s="30">
        <v>0.891988446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4" ht="12.75">
      <c r="A132" s="1" t="s">
        <v>237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 t="s">
        <v>236</v>
      </c>
      <c r="B133" s="1"/>
      <c r="C133" s="18">
        <f>$C$57*(J32/$J$47)</f>
        <v>24564.692834890968</v>
      </c>
      <c r="E133" s="18">
        <f>$E$57*(J32/$J$47)</f>
        <v>26241.74803738318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 t="s">
        <v>101</v>
      </c>
      <c r="B135" s="1"/>
      <c r="C135" s="18">
        <v>1541628</v>
      </c>
      <c r="E135" s="18">
        <v>1592267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8"/>
      <c r="E136" s="18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 t="s">
        <v>159</v>
      </c>
      <c r="B137" s="1"/>
      <c r="C137" s="20">
        <v>579883</v>
      </c>
      <c r="E137" s="20">
        <v>601621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2:15" ht="12.75">
      <c r="B138" s="1"/>
      <c r="C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25" t="s">
        <v>238</v>
      </c>
      <c r="B139" s="1"/>
      <c r="C139" s="20">
        <f>C57-L47</f>
        <v>24564.692834890448</v>
      </c>
      <c r="D139" s="1"/>
      <c r="E139" s="20">
        <f>E57-M47</f>
        <v>26241.74803738296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6:15" ht="12.75"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6:15" ht="12.75">
      <c r="F141" s="1"/>
      <c r="G141" s="1"/>
      <c r="H141" s="1"/>
      <c r="I141" s="1"/>
      <c r="J141" s="1"/>
      <c r="K141" s="1"/>
      <c r="L141" s="1"/>
      <c r="M141" s="1"/>
      <c r="N141" s="1"/>
      <c r="O141" s="1"/>
    </row>
  </sheetData>
  <sheetProtection/>
  <printOptions/>
  <pageMargins left="0.75" right="0.75" top="1" bottom="1" header="0.5118055555555555" footer="0.511805555555555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4.57421875" style="0" customWidth="1"/>
    <col min="2" max="2" width="20.421875" style="0" customWidth="1"/>
    <col min="3" max="3" width="3.7109375" style="0" customWidth="1"/>
    <col min="4" max="4" width="12.28125" style="0" customWidth="1"/>
    <col min="5" max="5" width="13.421875" style="0" customWidth="1"/>
    <col min="6" max="6" width="12.28125" style="0" customWidth="1"/>
    <col min="7" max="7" width="13.28125" style="0" customWidth="1"/>
    <col min="8" max="8" width="4.140625" style="0" customWidth="1"/>
    <col min="9" max="9" width="13.00390625" style="0" customWidth="1"/>
    <col min="10" max="10" width="4.421875" style="0" customWidth="1"/>
    <col min="12" max="12" width="10.14062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23" t="s">
        <v>195</v>
      </c>
      <c r="J3" s="23"/>
      <c r="K3" s="1"/>
      <c r="L3" s="1"/>
      <c r="M3" s="1"/>
      <c r="N3" s="1"/>
      <c r="O3" s="1"/>
    </row>
    <row r="4" spans="1:15" ht="12.75">
      <c r="A4" s="1"/>
      <c r="B4" s="17" t="s">
        <v>196</v>
      </c>
      <c r="C4" s="1"/>
      <c r="D4" s="1"/>
      <c r="E4" s="16">
        <v>2005</v>
      </c>
      <c r="F4" s="16"/>
      <c r="G4" s="16">
        <v>2006</v>
      </c>
      <c r="H4" s="16"/>
      <c r="I4" s="16" t="s">
        <v>197</v>
      </c>
      <c r="J4" s="16"/>
      <c r="K4" s="17" t="s">
        <v>198</v>
      </c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 t="s">
        <v>199</v>
      </c>
      <c r="C6" s="1"/>
      <c r="D6" s="1"/>
      <c r="E6" s="1"/>
      <c r="F6" s="1"/>
      <c r="G6" s="1"/>
      <c r="H6" s="1"/>
      <c r="I6" s="1">
        <v>1.1</v>
      </c>
      <c r="J6" s="1"/>
      <c r="K6" s="1" t="s">
        <v>200</v>
      </c>
      <c r="L6" s="1"/>
      <c r="M6" s="1"/>
      <c r="N6" s="1"/>
      <c r="O6" s="1"/>
    </row>
    <row r="7" spans="1:15" ht="12.75">
      <c r="A7" s="1"/>
      <c r="B7" s="1" t="s">
        <v>201</v>
      </c>
      <c r="C7" s="1"/>
      <c r="D7" s="18">
        <v>24498</v>
      </c>
      <c r="E7" s="1"/>
      <c r="F7" s="18">
        <v>38768</v>
      </c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 t="s">
        <v>202</v>
      </c>
      <c r="C8" s="1"/>
      <c r="D8" s="24">
        <v>82</v>
      </c>
      <c r="E8" s="18">
        <f>D7*D8</f>
        <v>2008836</v>
      </c>
      <c r="F8" s="24">
        <v>70</v>
      </c>
      <c r="G8" s="18">
        <f>F7*F8</f>
        <v>2713760</v>
      </c>
      <c r="H8" s="18"/>
      <c r="I8" s="1"/>
      <c r="J8" s="1"/>
      <c r="K8" s="1"/>
      <c r="L8" s="1"/>
      <c r="M8" s="1"/>
      <c r="N8" s="1"/>
      <c r="O8" s="1"/>
    </row>
    <row r="9" spans="1:15" ht="12.75">
      <c r="A9" s="1"/>
      <c r="B9" s="1" t="s">
        <v>203</v>
      </c>
      <c r="C9" s="1"/>
      <c r="D9" s="24"/>
      <c r="E9" s="18"/>
      <c r="F9" s="24"/>
      <c r="G9" s="18"/>
      <c r="H9" s="18"/>
      <c r="I9" s="1">
        <v>2.4</v>
      </c>
      <c r="J9" s="1"/>
      <c r="K9" s="1" t="s">
        <v>204</v>
      </c>
      <c r="L9" s="1"/>
      <c r="M9" s="1"/>
      <c r="N9" s="1"/>
      <c r="O9" s="1"/>
    </row>
    <row r="10" spans="1:15" ht="12.75">
      <c r="A10" s="1"/>
      <c r="B10" s="1" t="s">
        <v>201</v>
      </c>
      <c r="C10" s="1"/>
      <c r="D10" s="18">
        <v>44487</v>
      </c>
      <c r="E10" s="18"/>
      <c r="F10" s="18">
        <v>41998</v>
      </c>
      <c r="G10" s="18"/>
      <c r="H10" s="18"/>
      <c r="I10" s="1"/>
      <c r="J10" s="1"/>
      <c r="K10" s="1"/>
      <c r="L10" s="1"/>
      <c r="M10" s="1"/>
      <c r="N10" s="1"/>
      <c r="O10" s="1"/>
    </row>
    <row r="11" spans="1:15" ht="12.75">
      <c r="A11" s="1"/>
      <c r="B11" s="1" t="s">
        <v>202</v>
      </c>
      <c r="C11" s="1"/>
      <c r="D11" s="24">
        <v>143.12</v>
      </c>
      <c r="E11" s="18">
        <f>D10*D11</f>
        <v>6366979.44</v>
      </c>
      <c r="F11" s="24">
        <v>143.4</v>
      </c>
      <c r="G11" s="18">
        <f>F10*F11</f>
        <v>6022513.2</v>
      </c>
      <c r="H11" s="18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205</v>
      </c>
      <c r="C12" s="1"/>
      <c r="D12" s="1"/>
      <c r="E12" s="18"/>
      <c r="F12" s="1"/>
      <c r="G12" s="18"/>
      <c r="H12" s="18"/>
      <c r="I12" s="1">
        <v>4.3</v>
      </c>
      <c r="J12" s="1"/>
      <c r="K12" s="1" t="s">
        <v>206</v>
      </c>
      <c r="L12" s="1"/>
      <c r="M12" s="1"/>
      <c r="N12" s="1"/>
      <c r="O12" s="1"/>
    </row>
    <row r="13" spans="1:15" ht="12.75">
      <c r="A13" s="1"/>
      <c r="B13" s="1" t="s">
        <v>201</v>
      </c>
      <c r="C13" s="1"/>
      <c r="D13" s="18">
        <v>70371</v>
      </c>
      <c r="E13" s="18"/>
      <c r="F13" s="18">
        <v>66408</v>
      </c>
      <c r="G13" s="18"/>
      <c r="H13" s="18"/>
      <c r="I13" s="1"/>
      <c r="J13" s="1"/>
      <c r="K13" s="1"/>
      <c r="L13" s="1"/>
      <c r="M13" s="1"/>
      <c r="N13" s="1"/>
      <c r="O13" s="1"/>
    </row>
    <row r="14" spans="1:15" ht="12.75">
      <c r="A14" s="1"/>
      <c r="B14" s="1" t="s">
        <v>202</v>
      </c>
      <c r="C14" s="1"/>
      <c r="D14" s="24">
        <v>175.1</v>
      </c>
      <c r="E14" s="18">
        <f>D13*D14</f>
        <v>12321962.1</v>
      </c>
      <c r="F14" s="24">
        <v>181.67</v>
      </c>
      <c r="G14" s="18">
        <f>F13*F14</f>
        <v>12064341.36</v>
      </c>
      <c r="H14" s="18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207</v>
      </c>
      <c r="C15" s="1"/>
      <c r="D15" s="1"/>
      <c r="E15" s="18"/>
      <c r="F15" s="1"/>
      <c r="G15" s="18"/>
      <c r="H15" s="18"/>
      <c r="I15" s="1">
        <v>3.1</v>
      </c>
      <c r="J15" s="1"/>
      <c r="K15" s="1" t="s">
        <v>208</v>
      </c>
      <c r="L15" s="1"/>
      <c r="M15" s="1"/>
      <c r="N15" s="1"/>
      <c r="O15" s="1"/>
    </row>
    <row r="16" spans="1:15" ht="12.75">
      <c r="A16" s="1"/>
      <c r="B16" s="1" t="s">
        <v>201</v>
      </c>
      <c r="C16" s="1"/>
      <c r="D16" s="18">
        <v>32209</v>
      </c>
      <c r="E16" s="18"/>
      <c r="F16" s="18">
        <v>32306</v>
      </c>
      <c r="G16" s="18"/>
      <c r="H16" s="18"/>
      <c r="I16" s="1"/>
      <c r="J16" s="1"/>
      <c r="K16" s="1" t="s">
        <v>209</v>
      </c>
      <c r="L16" s="1"/>
      <c r="M16" s="1"/>
      <c r="N16" s="1"/>
      <c r="O16" s="1"/>
    </row>
    <row r="17" spans="1:15" ht="12.75">
      <c r="A17" s="1"/>
      <c r="B17" s="1" t="s">
        <v>202</v>
      </c>
      <c r="C17" s="1"/>
      <c r="D17" s="24">
        <v>198.5</v>
      </c>
      <c r="E17" s="18">
        <f>D16*D17</f>
        <v>6393486.5</v>
      </c>
      <c r="F17" s="24">
        <v>201.42</v>
      </c>
      <c r="G17" s="18">
        <f>F16*F17</f>
        <v>6507074.52</v>
      </c>
      <c r="H17" s="18"/>
      <c r="I17" s="20">
        <f>G17-E17</f>
        <v>113588.01999999955</v>
      </c>
      <c r="J17" s="1"/>
      <c r="K17" s="1">
        <f>E17*0.1</f>
        <v>639348.65</v>
      </c>
      <c r="L17" s="1"/>
      <c r="M17" s="1"/>
      <c r="N17" s="1"/>
      <c r="O17" s="1"/>
    </row>
    <row r="18" spans="1:15" ht="12.75">
      <c r="A18" s="1"/>
      <c r="B18" s="1"/>
      <c r="C18" s="1"/>
      <c r="D18" s="1"/>
      <c r="E18" s="18"/>
      <c r="F18" s="1"/>
      <c r="G18" s="18"/>
      <c r="H18" s="18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222</v>
      </c>
      <c r="C19" s="1"/>
      <c r="D19" s="26">
        <f>AVERAGE(D17,D14,D11,D8)</f>
        <v>149.68</v>
      </c>
      <c r="E19" s="18">
        <f>E8+E11+E14+E17</f>
        <v>27091264.04</v>
      </c>
      <c r="F19" s="1"/>
      <c r="G19" s="18">
        <f>G8+G11+G14+G17</f>
        <v>27307689.08</v>
      </c>
      <c r="H19" s="18"/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17</v>
      </c>
      <c r="C20" s="1"/>
      <c r="D20" s="1">
        <f>Rooms!C10</f>
        <v>103.08915201674276</v>
      </c>
      <c r="E20" s="18"/>
      <c r="F20" s="1">
        <f>Rooms!E10</f>
        <v>103.91127092846271</v>
      </c>
      <c r="G20" s="18"/>
      <c r="H20" s="18"/>
      <c r="I20" s="1"/>
      <c r="J20" s="1"/>
      <c r="K20" s="1"/>
      <c r="L20" s="18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6">
        <v>2001</v>
      </c>
      <c r="E22" s="16">
        <v>2002</v>
      </c>
      <c r="F22" s="16">
        <v>2003</v>
      </c>
      <c r="G22" s="16">
        <v>2004</v>
      </c>
      <c r="H22" s="16"/>
      <c r="I22" s="1"/>
      <c r="J22" s="1"/>
      <c r="K22" s="1"/>
      <c r="L22" s="1"/>
      <c r="M22" s="1"/>
      <c r="N22" s="1"/>
      <c r="O22" s="1"/>
    </row>
    <row r="23" spans="1:15" ht="12.75">
      <c r="A23" s="1"/>
      <c r="B23" s="1" t="s">
        <v>3</v>
      </c>
      <c r="C23" s="1"/>
      <c r="D23" s="1">
        <v>720</v>
      </c>
      <c r="E23" s="1">
        <v>720</v>
      </c>
      <c r="F23" s="1">
        <v>720</v>
      </c>
      <c r="G23" s="1">
        <v>720</v>
      </c>
      <c r="H23" s="1"/>
      <c r="I23" s="25"/>
      <c r="J23" s="1"/>
      <c r="K23" s="1"/>
      <c r="L23" s="1"/>
      <c r="M23" s="1"/>
      <c r="N23" s="1"/>
      <c r="O23" s="1"/>
    </row>
    <row r="24" spans="1:15" ht="12.75">
      <c r="A24" s="1"/>
      <c r="B24" s="1" t="s">
        <v>14</v>
      </c>
      <c r="C24" s="1"/>
      <c r="D24" s="21">
        <v>0.731</v>
      </c>
      <c r="E24" s="21">
        <v>0.646</v>
      </c>
      <c r="F24" s="21">
        <v>0.6519</v>
      </c>
      <c r="G24" s="21">
        <v>0.6625</v>
      </c>
      <c r="H24" s="21"/>
      <c r="I24" s="25"/>
      <c r="J24" s="1"/>
      <c r="K24" s="20"/>
      <c r="L24" s="1"/>
      <c r="M24" s="1"/>
      <c r="N24" s="1"/>
      <c r="O24" s="1"/>
    </row>
    <row r="25" spans="1:15" ht="15">
      <c r="A25" s="1"/>
      <c r="B25" s="1" t="s">
        <v>210</v>
      </c>
      <c r="C25" s="1"/>
      <c r="D25" s="24">
        <v>180.03</v>
      </c>
      <c r="E25" s="24">
        <v>158.64</v>
      </c>
      <c r="F25" s="28">
        <v>157.91</v>
      </c>
      <c r="G25" s="28">
        <v>152.15</v>
      </c>
      <c r="H25" s="24"/>
      <c r="I25" s="25"/>
      <c r="J25" s="1"/>
      <c r="K25" s="27"/>
      <c r="L25" s="1"/>
      <c r="M25" s="1"/>
      <c r="N25" s="1"/>
      <c r="O25" s="1"/>
    </row>
    <row r="26" spans="1:15" ht="12.75">
      <c r="A26" s="1"/>
      <c r="B26" s="1" t="s">
        <v>17</v>
      </c>
      <c r="C26" s="1"/>
      <c r="D26" s="24">
        <f>D24*D25</f>
        <v>131.60193</v>
      </c>
      <c r="E26" s="24">
        <f>E24*E25</f>
        <v>102.48143999999999</v>
      </c>
      <c r="F26" s="24">
        <f>F24*F25</f>
        <v>102.941529</v>
      </c>
      <c r="G26" s="24">
        <f>G24*G25</f>
        <v>100.799375</v>
      </c>
      <c r="H26" s="24"/>
      <c r="I26" s="25"/>
      <c r="J26" s="1"/>
      <c r="K26" s="1"/>
      <c r="L26" s="1"/>
      <c r="M26" s="1"/>
      <c r="N26" s="1"/>
      <c r="O26" s="1"/>
    </row>
    <row r="27" spans="1:15" ht="12.75">
      <c r="A27" s="1"/>
      <c r="B27" s="1" t="s">
        <v>211</v>
      </c>
      <c r="C27" s="1"/>
      <c r="D27" s="18">
        <v>18800</v>
      </c>
      <c r="E27" s="18">
        <v>18800</v>
      </c>
      <c r="F27" s="18">
        <v>18800</v>
      </c>
      <c r="G27" s="18">
        <v>18800</v>
      </c>
      <c r="H27" s="18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20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7" t="s">
        <v>212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6" t="s">
        <v>213</v>
      </c>
      <c r="E31" s="16" t="s">
        <v>214</v>
      </c>
      <c r="F31" s="16" t="s">
        <v>215</v>
      </c>
      <c r="G31" s="16" t="s">
        <v>216</v>
      </c>
      <c r="H31" s="16"/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3</v>
      </c>
      <c r="C32" s="1"/>
      <c r="D32" s="1">
        <v>532</v>
      </c>
      <c r="E32" s="1">
        <v>646</v>
      </c>
      <c r="F32" s="1">
        <v>685</v>
      </c>
      <c r="G32" s="18">
        <v>1010</v>
      </c>
      <c r="H32" s="18"/>
      <c r="I32" s="1"/>
      <c r="J32" s="1"/>
      <c r="K32" s="1"/>
      <c r="L32" s="1"/>
      <c r="M32" s="1"/>
      <c r="N32" s="1"/>
      <c r="O32" s="1"/>
    </row>
    <row r="33" spans="1:15" ht="12.75">
      <c r="A33" s="1"/>
      <c r="B33" s="1" t="s">
        <v>14</v>
      </c>
      <c r="C33" s="1"/>
      <c r="D33" s="21">
        <v>0.654</v>
      </c>
      <c r="E33" s="21">
        <v>0.699</v>
      </c>
      <c r="F33" s="21">
        <v>0.705</v>
      </c>
      <c r="G33" s="21">
        <v>0.689</v>
      </c>
      <c r="H33" s="21"/>
      <c r="I33" s="1"/>
      <c r="J33" s="1"/>
      <c r="K33" s="1"/>
      <c r="L33" s="1"/>
      <c r="M33" s="1"/>
      <c r="N33" s="1"/>
      <c r="O33" s="1"/>
    </row>
    <row r="34" spans="1:15" ht="12.75">
      <c r="A34" s="1"/>
      <c r="B34" s="1" t="s">
        <v>210</v>
      </c>
      <c r="C34" s="1"/>
      <c r="D34" s="24">
        <v>175.9</v>
      </c>
      <c r="E34" s="24">
        <v>157.31</v>
      </c>
      <c r="F34" s="24">
        <v>162.42</v>
      </c>
      <c r="G34" s="24">
        <v>168.81</v>
      </c>
      <c r="H34" s="24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17</v>
      </c>
      <c r="C35" s="1"/>
      <c r="D35" s="24">
        <f>D33*D34</f>
        <v>115.0386</v>
      </c>
      <c r="E35" s="24">
        <f>E33*E34</f>
        <v>109.95969</v>
      </c>
      <c r="F35" s="24">
        <f>F33*F34</f>
        <v>114.50609999999999</v>
      </c>
      <c r="G35" s="24">
        <f>G33*G34</f>
        <v>116.31008999999999</v>
      </c>
      <c r="H35" s="24"/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211</v>
      </c>
      <c r="C36" s="1"/>
      <c r="D36" s="18">
        <v>15000</v>
      </c>
      <c r="E36" s="18">
        <v>40000</v>
      </c>
      <c r="F36" s="18">
        <v>28000</v>
      </c>
      <c r="G36" s="18">
        <v>55000</v>
      </c>
      <c r="H36" s="18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7" t="s">
        <v>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7">
        <v>2005</v>
      </c>
      <c r="E40" s="17"/>
      <c r="F40" s="17">
        <v>2006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 t="s">
        <v>217</v>
      </c>
      <c r="C41" s="1"/>
      <c r="D41" s="18">
        <f>'Cost Centers'!I75*0.02</f>
        <v>784870.0008</v>
      </c>
      <c r="E41" s="1"/>
      <c r="F41" s="18">
        <f>'Cost Centers'!K75*0.02</f>
        <v>783537.6816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 t="s">
        <v>218</v>
      </c>
      <c r="C42" s="1"/>
      <c r="D42" s="18">
        <v>30000</v>
      </c>
      <c r="E42" s="1"/>
      <c r="F42" s="18">
        <v>29750</v>
      </c>
      <c r="G42" s="1"/>
      <c r="H42" s="1"/>
      <c r="I42" s="1">
        <f>75*397</f>
        <v>29775</v>
      </c>
      <c r="J42" s="1"/>
      <c r="K42" s="1"/>
      <c r="L42" s="1"/>
      <c r="M42" s="1"/>
      <c r="N42" s="1"/>
      <c r="O42" s="1"/>
    </row>
    <row r="43" spans="1:15" ht="12.75">
      <c r="A43" s="1"/>
      <c r="B43" s="1" t="s">
        <v>219</v>
      </c>
      <c r="C43" s="1"/>
      <c r="D43" s="18">
        <v>80000</v>
      </c>
      <c r="E43" s="1"/>
      <c r="F43" s="18">
        <v>80000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 t="s">
        <v>220</v>
      </c>
      <c r="C44" s="1"/>
      <c r="D44" s="12">
        <v>67341</v>
      </c>
      <c r="E44" s="17"/>
      <c r="F44" s="12">
        <v>73506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8">
        <f>SUM(D41:D44)</f>
        <v>962211.0008</v>
      </c>
      <c r="E45" s="18"/>
      <c r="F45" s="18">
        <f>SUM(F41:F44)</f>
        <v>966793.6816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7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 t="s">
        <v>221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printOptions/>
  <pageMargins left="0.75" right="0.75" top="1" bottom="1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H30" sqref="H30"/>
    </sheetView>
  </sheetViews>
  <sheetFormatPr defaultColWidth="9.140625" defaultRowHeight="12.75"/>
  <sheetData>
    <row r="1" spans="1:2" ht="12.75">
      <c r="A1">
        <v>1</v>
      </c>
      <c r="B1" t="s">
        <v>229</v>
      </c>
    </row>
    <row r="2" spans="1:2" ht="12.75">
      <c r="A2">
        <v>2</v>
      </c>
      <c r="B2" t="s">
        <v>230</v>
      </c>
    </row>
    <row r="3" spans="1:2" ht="12.75">
      <c r="A3">
        <v>3</v>
      </c>
      <c r="B3" t="s">
        <v>231</v>
      </c>
    </row>
    <row r="4" spans="1:2" ht="12.75">
      <c r="A4">
        <v>4</v>
      </c>
      <c r="B4" t="s">
        <v>233</v>
      </c>
    </row>
    <row r="5" spans="1:2" ht="12.75">
      <c r="A5">
        <v>5</v>
      </c>
      <c r="B5" t="s">
        <v>234</v>
      </c>
    </row>
    <row r="6" spans="1:2" ht="12.75">
      <c r="A6">
        <v>5</v>
      </c>
      <c r="B6" t="s">
        <v>286</v>
      </c>
    </row>
    <row r="7" spans="1:2" ht="12.75">
      <c r="A7">
        <v>6</v>
      </c>
      <c r="B7" t="s">
        <v>239</v>
      </c>
    </row>
    <row r="8" spans="1:2" ht="12.75">
      <c r="A8">
        <v>7</v>
      </c>
      <c r="B8" t="s">
        <v>287</v>
      </c>
    </row>
    <row r="9" spans="1:2" ht="12.75">
      <c r="A9">
        <v>8</v>
      </c>
      <c r="B9" t="s">
        <v>288</v>
      </c>
    </row>
    <row r="10" ht="12.75">
      <c r="B10" t="s">
        <v>289</v>
      </c>
    </row>
    <row r="11" ht="12.75">
      <c r="B11" t="s">
        <v>290</v>
      </c>
    </row>
    <row r="12" ht="12.75">
      <c r="B12" t="s">
        <v>291</v>
      </c>
    </row>
    <row r="13" spans="1:2" ht="12.75">
      <c r="A13">
        <v>9</v>
      </c>
      <c r="B13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59"/>
  <sheetViews>
    <sheetView tabSelected="1" zoomScalePageLayoutView="0" workbookViewId="0" topLeftCell="A67">
      <selection activeCell="H93" sqref="H93"/>
    </sheetView>
  </sheetViews>
  <sheetFormatPr defaultColWidth="9.140625" defaultRowHeight="12.75"/>
  <cols>
    <col min="3" max="3" width="12.140625" style="0" customWidth="1"/>
    <col min="4" max="4" width="14.00390625" style="0" customWidth="1"/>
    <col min="7" max="7" width="3.421875" style="0" customWidth="1"/>
    <col min="8" max="8" width="15.421875" style="0" customWidth="1"/>
    <col min="9" max="9" width="10.140625" style="0" bestFit="1" customWidth="1"/>
    <col min="11" max="11" width="10.140625" style="0" bestFit="1" customWidth="1"/>
    <col min="13" max="13" width="10.57421875" style="0" bestFit="1" customWidth="1"/>
    <col min="14" max="14" width="11.57421875" style="0" bestFit="1" customWidth="1"/>
    <col min="16" max="16" width="10.57421875" style="0" bestFit="1" customWidth="1"/>
    <col min="18" max="18" width="18.00390625" style="0" bestFit="1" customWidth="1"/>
    <col min="19" max="19" width="9.57421875" style="0" bestFit="1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115</v>
      </c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5">
      <c r="A4" s="35"/>
      <c r="B4" s="35"/>
      <c r="C4" s="36">
        <v>2005</v>
      </c>
      <c r="D4" s="36"/>
      <c r="E4" s="36">
        <v>2006</v>
      </c>
      <c r="F4" s="1"/>
      <c r="G4" s="1"/>
    </row>
    <row r="5" spans="1:7" ht="15">
      <c r="A5" s="35"/>
      <c r="B5" s="35"/>
      <c r="C5" s="35"/>
      <c r="D5" s="35"/>
      <c r="E5" s="35"/>
      <c r="F5" s="1"/>
      <c r="G5" s="25" t="s">
        <v>254</v>
      </c>
    </row>
    <row r="6" spans="1:7" ht="15">
      <c r="A6" s="35" t="s">
        <v>116</v>
      </c>
      <c r="B6" s="35"/>
      <c r="C6" s="35"/>
      <c r="D6" s="35"/>
      <c r="E6" s="35"/>
      <c r="F6" s="1"/>
      <c r="G6" s="1"/>
    </row>
    <row r="7" spans="1:7" ht="15">
      <c r="A7" s="35"/>
      <c r="B7" s="35"/>
      <c r="C7" s="36"/>
      <c r="D7" s="36"/>
      <c r="E7" s="36"/>
      <c r="F7" s="1"/>
      <c r="G7" s="1"/>
    </row>
    <row r="8" spans="1:7" ht="15">
      <c r="A8" s="35" t="s">
        <v>117</v>
      </c>
      <c r="B8" s="35"/>
      <c r="C8" s="36"/>
      <c r="D8" s="36"/>
      <c r="E8" s="36"/>
      <c r="F8" s="1"/>
      <c r="G8" s="1"/>
    </row>
    <row r="9" spans="1:7" ht="15">
      <c r="A9" s="35" t="s">
        <v>19</v>
      </c>
      <c r="B9" s="35"/>
      <c r="C9" s="37">
        <v>254399</v>
      </c>
      <c r="D9" s="35"/>
      <c r="E9" s="37">
        <v>261202</v>
      </c>
      <c r="F9" s="1"/>
      <c r="G9" s="1"/>
    </row>
    <row r="10" spans="1:7" ht="15">
      <c r="A10" s="35" t="s">
        <v>118</v>
      </c>
      <c r="B10" s="35"/>
      <c r="C10" s="37">
        <v>230067</v>
      </c>
      <c r="D10" s="35"/>
      <c r="E10" s="37">
        <v>235906</v>
      </c>
      <c r="F10" s="1"/>
      <c r="G10" s="1"/>
    </row>
    <row r="11" spans="1:7" ht="15">
      <c r="A11" s="35" t="s">
        <v>29</v>
      </c>
      <c r="B11" s="35"/>
      <c r="C11" s="37">
        <v>7780</v>
      </c>
      <c r="D11" s="35"/>
      <c r="E11" s="37">
        <v>8006</v>
      </c>
      <c r="F11" s="1"/>
      <c r="G11" s="1"/>
    </row>
    <row r="12" spans="1:7" ht="15">
      <c r="A12" s="35"/>
      <c r="B12" s="35"/>
      <c r="C12" s="37">
        <f>SUM(C9:C11)</f>
        <v>492246</v>
      </c>
      <c r="D12" s="35"/>
      <c r="E12" s="37">
        <f>SUM(E9:E11)</f>
        <v>505114</v>
      </c>
      <c r="F12" s="1"/>
      <c r="G12" s="1"/>
    </row>
    <row r="13" spans="1:7" ht="15">
      <c r="A13" s="35"/>
      <c r="B13" s="35"/>
      <c r="C13" s="37"/>
      <c r="D13" s="35"/>
      <c r="E13" s="35"/>
      <c r="F13" s="1"/>
      <c r="G13" s="1"/>
    </row>
    <row r="14" spans="1:7" ht="15">
      <c r="A14" s="35" t="s">
        <v>119</v>
      </c>
      <c r="B14" s="35"/>
      <c r="C14" s="37"/>
      <c r="D14" s="35"/>
      <c r="E14" s="35"/>
      <c r="F14" s="1"/>
      <c r="G14" s="1"/>
    </row>
    <row r="15" spans="1:7" ht="15">
      <c r="A15" s="35" t="s">
        <v>120</v>
      </c>
      <c r="B15" s="38">
        <v>0.064</v>
      </c>
      <c r="C15" s="37">
        <f>($C$12)*B15</f>
        <v>31503.744000000002</v>
      </c>
      <c r="D15" s="35"/>
      <c r="E15" s="37">
        <f>$E$12*B15</f>
        <v>32327.296000000002</v>
      </c>
      <c r="F15" s="1"/>
      <c r="G15" s="1"/>
    </row>
    <row r="16" spans="1:7" ht="15">
      <c r="A16" s="35" t="s">
        <v>122</v>
      </c>
      <c r="B16" s="38">
        <v>0.317</v>
      </c>
      <c r="C16" s="37">
        <f aca="true" t="shared" si="0" ref="C16:C24">($C$12)*B16</f>
        <v>156041.982</v>
      </c>
      <c r="D16" s="35"/>
      <c r="E16" s="37">
        <f aca="true" t="shared" si="1" ref="E16:E24">$E$12*B16</f>
        <v>160121.138</v>
      </c>
      <c r="F16" s="1"/>
      <c r="G16" s="1"/>
    </row>
    <row r="17" spans="1:7" ht="15">
      <c r="A17" s="35" t="s">
        <v>124</v>
      </c>
      <c r="B17" s="38">
        <v>0.12</v>
      </c>
      <c r="C17" s="37">
        <f t="shared" si="0"/>
        <v>59069.52</v>
      </c>
      <c r="D17" s="35"/>
      <c r="E17" s="37">
        <f t="shared" si="1"/>
        <v>60613.68</v>
      </c>
      <c r="F17" s="1"/>
      <c r="G17" s="1"/>
    </row>
    <row r="18" spans="1:7" ht="15">
      <c r="A18" s="35" t="s">
        <v>126</v>
      </c>
      <c r="B18" s="38">
        <v>0.308</v>
      </c>
      <c r="C18" s="37">
        <f t="shared" si="0"/>
        <v>151611.768</v>
      </c>
      <c r="D18" s="35"/>
      <c r="E18" s="37">
        <f t="shared" si="1"/>
        <v>155575.112</v>
      </c>
      <c r="F18" s="1"/>
      <c r="G18" s="1"/>
    </row>
    <row r="19" spans="1:7" ht="15">
      <c r="A19" s="35" t="s">
        <v>38</v>
      </c>
      <c r="B19" s="38">
        <v>0.04</v>
      </c>
      <c r="C19" s="37">
        <f t="shared" si="0"/>
        <v>19689.84</v>
      </c>
      <c r="D19" s="35"/>
      <c r="E19" s="37">
        <f t="shared" si="1"/>
        <v>20204.56</v>
      </c>
      <c r="F19" s="1"/>
      <c r="G19" s="1"/>
    </row>
    <row r="20" spans="1:7" ht="15">
      <c r="A20" s="35" t="s">
        <v>127</v>
      </c>
      <c r="B20" s="38">
        <v>0.067</v>
      </c>
      <c r="C20" s="37">
        <f t="shared" si="0"/>
        <v>32980.482</v>
      </c>
      <c r="D20" s="35"/>
      <c r="E20" s="37">
        <f t="shared" si="1"/>
        <v>33842.638</v>
      </c>
      <c r="F20" s="1"/>
      <c r="G20" s="1"/>
    </row>
    <row r="21" spans="1:7" ht="15">
      <c r="A21" s="35" t="s">
        <v>6</v>
      </c>
      <c r="B21" s="38">
        <v>0.018</v>
      </c>
      <c r="C21" s="37">
        <f t="shared" si="0"/>
        <v>8860.428</v>
      </c>
      <c r="D21" s="35"/>
      <c r="E21" s="37">
        <f t="shared" si="1"/>
        <v>9092.052</v>
      </c>
      <c r="F21" s="1"/>
      <c r="G21" s="1"/>
    </row>
    <row r="22" spans="1:7" ht="15">
      <c r="A22" s="35" t="s">
        <v>128</v>
      </c>
      <c r="B22" s="38">
        <v>0.013</v>
      </c>
      <c r="C22" s="37">
        <f t="shared" si="0"/>
        <v>6399.197999999999</v>
      </c>
      <c r="D22" s="35"/>
      <c r="E22" s="37">
        <f t="shared" si="1"/>
        <v>6566.482</v>
      </c>
      <c r="F22" s="1"/>
      <c r="G22" s="1"/>
    </row>
    <row r="23" spans="1:7" ht="15">
      <c r="A23" s="35" t="s">
        <v>129</v>
      </c>
      <c r="B23" s="38">
        <v>0.037</v>
      </c>
      <c r="C23" s="37">
        <f t="shared" si="0"/>
        <v>18213.102</v>
      </c>
      <c r="D23" s="35"/>
      <c r="E23" s="37">
        <f t="shared" si="1"/>
        <v>18689.218</v>
      </c>
      <c r="F23" s="1"/>
      <c r="G23" s="1"/>
    </row>
    <row r="24" spans="1:7" ht="15">
      <c r="A24" s="35" t="s">
        <v>5</v>
      </c>
      <c r="B24" s="38">
        <v>0.016</v>
      </c>
      <c r="C24" s="37">
        <f t="shared" si="0"/>
        <v>7875.936000000001</v>
      </c>
      <c r="D24" s="35"/>
      <c r="E24" s="37">
        <f t="shared" si="1"/>
        <v>8081.8240000000005</v>
      </c>
      <c r="F24" s="1"/>
      <c r="G24" s="1"/>
    </row>
    <row r="25" spans="1:7" ht="15">
      <c r="A25" s="35"/>
      <c r="B25" s="35"/>
      <c r="C25" s="37">
        <f>SUM(C15:C24)</f>
        <v>492246</v>
      </c>
      <c r="D25" s="35"/>
      <c r="E25" s="37">
        <f>SUM(E15:E24)</f>
        <v>505114.00000000006</v>
      </c>
      <c r="F25" s="1"/>
      <c r="G25" s="1"/>
    </row>
    <row r="26" spans="1:7" ht="12.75">
      <c r="A26" s="1"/>
      <c r="B26" s="1"/>
      <c r="C26" s="18"/>
      <c r="D26" s="1"/>
      <c r="E26" s="1"/>
      <c r="F26" s="1"/>
      <c r="G26" s="1"/>
    </row>
    <row r="27" ht="12.75">
      <c r="A27" s="1" t="s">
        <v>39</v>
      </c>
    </row>
    <row r="28" spans="9:12" ht="12.75">
      <c r="I28" t="s">
        <v>244</v>
      </c>
      <c r="L28" t="s">
        <v>246</v>
      </c>
    </row>
    <row r="29" spans="1:16" ht="12.75">
      <c r="A29" s="17" t="s">
        <v>164</v>
      </c>
      <c r="B29" s="1"/>
      <c r="C29" s="1"/>
      <c r="D29" s="1"/>
      <c r="E29" s="1"/>
      <c r="K29" t="s">
        <v>249</v>
      </c>
      <c r="L29" t="s">
        <v>250</v>
      </c>
      <c r="M29" t="s">
        <v>251</v>
      </c>
      <c r="N29" t="s">
        <v>252</v>
      </c>
      <c r="O29" t="s">
        <v>250</v>
      </c>
      <c r="P29" t="s">
        <v>251</v>
      </c>
    </row>
    <row r="30" spans="1:18" ht="12.75">
      <c r="A30" s="1" t="s">
        <v>165</v>
      </c>
      <c r="B30" s="1"/>
      <c r="C30" s="18">
        <v>1818480</v>
      </c>
      <c r="D30" s="18"/>
      <c r="E30" s="18">
        <v>1918701</v>
      </c>
      <c r="I30" t="s">
        <v>124</v>
      </c>
      <c r="K30">
        <f>Rooms!C17</f>
        <v>2490813</v>
      </c>
      <c r="L30">
        <f>K30/$K$45</f>
        <v>0.13171669403611203</v>
      </c>
      <c r="M30">
        <f>L30*$C$40</f>
        <v>279272.0570966785</v>
      </c>
      <c r="N30">
        <f>Rooms!E17</f>
        <v>2361042</v>
      </c>
      <c r="O30">
        <f>N30/$N$45</f>
        <v>0.11771707719829366</v>
      </c>
      <c r="P30">
        <f>O30*$E$40</f>
        <v>263346.5214393835</v>
      </c>
      <c r="R30" s="34">
        <f>M30+M31</f>
        <v>804975.6395681484</v>
      </c>
    </row>
    <row r="31" spans="1:18" ht="12.75">
      <c r="A31" s="1" t="s">
        <v>177</v>
      </c>
      <c r="B31" s="1"/>
      <c r="C31" s="18">
        <v>49020</v>
      </c>
      <c r="D31" s="18"/>
      <c r="E31" s="18">
        <v>49716</v>
      </c>
      <c r="I31" t="s">
        <v>126</v>
      </c>
      <c r="K31">
        <f>Rooms!C34</f>
        <v>4688723</v>
      </c>
      <c r="L31">
        <f aca="true" t="shared" si="2" ref="L31:L44">K31/$K$45</f>
        <v>0.24794438314360862</v>
      </c>
      <c r="M31">
        <f aca="true" t="shared" si="3" ref="M31:M44">L31*$C$40</f>
        <v>525703.5824714699</v>
      </c>
      <c r="N31">
        <f>Rooms!E34</f>
        <v>5516433</v>
      </c>
      <c r="O31">
        <f aca="true" t="shared" si="4" ref="O31:O43">N31/$N$45</f>
        <v>0.27503888932099246</v>
      </c>
      <c r="P31">
        <f aca="true" t="shared" si="5" ref="P31:P43">O31*$E$40</f>
        <v>615293.3498444427</v>
      </c>
      <c r="R31" s="3"/>
    </row>
    <row r="32" spans="1:18" ht="12.75">
      <c r="A32" s="1" t="s">
        <v>178</v>
      </c>
      <c r="B32" s="1"/>
      <c r="C32" s="18">
        <v>158732</v>
      </c>
      <c r="D32" s="18"/>
      <c r="E32" s="18">
        <v>169471</v>
      </c>
      <c r="I32" t="s">
        <v>44</v>
      </c>
      <c r="K32">
        <f>F_B!D59</f>
        <v>2069611</v>
      </c>
      <c r="L32">
        <f t="shared" si="2"/>
        <v>0.10944310908156166</v>
      </c>
      <c r="M32">
        <f t="shared" si="3"/>
        <v>232046.53314396294</v>
      </c>
      <c r="N32">
        <f>F_B!D12</f>
        <v>2073402</v>
      </c>
      <c r="O32">
        <f t="shared" si="4"/>
        <v>0.10337589221076815</v>
      </c>
      <c r="P32">
        <f t="shared" si="5"/>
        <v>231263.65572720038</v>
      </c>
      <c r="R32" s="53"/>
    </row>
    <row r="33" spans="1:18" ht="12.75">
      <c r="A33" s="1" t="s">
        <v>29</v>
      </c>
      <c r="B33" s="1"/>
      <c r="C33" s="18">
        <v>20745</v>
      </c>
      <c r="D33" s="18"/>
      <c r="E33" s="18">
        <v>21762</v>
      </c>
      <c r="I33" t="s">
        <v>45</v>
      </c>
      <c r="K33">
        <f>F_B!E59</f>
        <v>564183</v>
      </c>
      <c r="L33">
        <f t="shared" si="2"/>
        <v>0.029834563891940415</v>
      </c>
      <c r="M33">
        <f t="shared" si="3"/>
        <v>63256.67442275888</v>
      </c>
      <c r="N33">
        <f>F_B!E12</f>
        <v>659672</v>
      </c>
      <c r="O33">
        <f t="shared" si="4"/>
        <v>0.03288999507401934</v>
      </c>
      <c r="P33">
        <f t="shared" si="5"/>
        <v>73578.6684400197</v>
      </c>
      <c r="R33" s="54"/>
    </row>
    <row r="34" spans="1:18" ht="12.75">
      <c r="A34" s="1" t="s">
        <v>5</v>
      </c>
      <c r="B34" s="1"/>
      <c r="C34" s="18">
        <v>37028</v>
      </c>
      <c r="D34" s="18"/>
      <c r="E34" s="18">
        <v>38755</v>
      </c>
      <c r="I34" t="s">
        <v>46</v>
      </c>
      <c r="K34">
        <f>F_B!F59</f>
        <v>190790</v>
      </c>
      <c r="L34">
        <f t="shared" si="2"/>
        <v>0.010089166892556692</v>
      </c>
      <c r="M34">
        <f t="shared" si="3"/>
        <v>21391.53592560954</v>
      </c>
      <c r="N34">
        <f>F_B!F12</f>
        <v>201308</v>
      </c>
      <c r="O34">
        <f t="shared" si="4"/>
        <v>0.010036835167114393</v>
      </c>
      <c r="P34">
        <f t="shared" si="5"/>
        <v>22453.544468043947</v>
      </c>
      <c r="R34" s="34"/>
    </row>
    <row r="35" spans="1:16" ht="12.75">
      <c r="A35" s="1" t="s">
        <v>179</v>
      </c>
      <c r="B35" s="1"/>
      <c r="C35" s="18">
        <v>20941</v>
      </c>
      <c r="D35" s="18"/>
      <c r="E35" s="18">
        <v>22970</v>
      </c>
      <c r="I35" t="s">
        <v>47</v>
      </c>
      <c r="K35">
        <f>F_B!G59</f>
        <v>353871</v>
      </c>
      <c r="L35">
        <f t="shared" si="2"/>
        <v>0.018713054025032386</v>
      </c>
      <c r="M35">
        <f t="shared" si="3"/>
        <v>39676.315370466866</v>
      </c>
      <c r="N35">
        <f>F_B!G12</f>
        <v>309382</v>
      </c>
      <c r="O35">
        <f t="shared" si="4"/>
        <v>0.015425199881138281</v>
      </c>
      <c r="P35">
        <f t="shared" si="5"/>
        <v>34507.93060689278</v>
      </c>
    </row>
    <row r="36" spans="1:19" ht="12.75">
      <c r="A36" s="1" t="s">
        <v>32</v>
      </c>
      <c r="B36" s="1"/>
      <c r="C36" s="12">
        <v>15302</v>
      </c>
      <c r="D36" s="12"/>
      <c r="E36" s="12">
        <v>15739</v>
      </c>
      <c r="I36" t="s">
        <v>48</v>
      </c>
      <c r="K36">
        <f>F_B!H59</f>
        <v>68400</v>
      </c>
      <c r="L36">
        <f t="shared" si="2"/>
        <v>0.003617060723575018</v>
      </c>
      <c r="M36">
        <f t="shared" si="3"/>
        <v>7669.065765038485</v>
      </c>
      <c r="N36">
        <f>F_B!H12</f>
        <v>68400</v>
      </c>
      <c r="O36">
        <f t="shared" si="4"/>
        <v>0.0034102943024153258</v>
      </c>
      <c r="P36">
        <f t="shared" si="5"/>
        <v>7629.2171280535595</v>
      </c>
      <c r="R36" s="34">
        <f>SUM(M32:M36)</f>
        <v>364040.1246278367</v>
      </c>
      <c r="S36" s="34">
        <f>SUM(P32:P36)</f>
        <v>369433.0163702104</v>
      </c>
    </row>
    <row r="37" spans="1:16" ht="12.75">
      <c r="A37" s="1" t="s">
        <v>257</v>
      </c>
      <c r="B37" s="1"/>
      <c r="C37" s="18">
        <f>SUM(C30:C36)</f>
        <v>2120248</v>
      </c>
      <c r="D37" s="18"/>
      <c r="E37" s="18">
        <f>SUM(E30:E36)</f>
        <v>2237114</v>
      </c>
      <c r="I37" t="s">
        <v>60</v>
      </c>
      <c r="K37">
        <f>F_B!C102</f>
        <v>2309817</v>
      </c>
      <c r="L37">
        <f t="shared" si="2"/>
        <v>0.12214544370388711</v>
      </c>
      <c r="M37">
        <f t="shared" si="3"/>
        <v>258978.63272227923</v>
      </c>
      <c r="N37">
        <f>F_B!D102</f>
        <v>2335531</v>
      </c>
      <c r="O37">
        <f t="shared" si="4"/>
        <v>0.11644514711132117</v>
      </c>
      <c r="P37">
        <f t="shared" si="5"/>
        <v>260501.06883479617</v>
      </c>
    </row>
    <row r="38" spans="1:16" ht="12.75">
      <c r="A38" s="1"/>
      <c r="B38" s="1"/>
      <c r="C38" s="12"/>
      <c r="D38" s="12"/>
      <c r="E38" s="12"/>
      <c r="I38" t="s">
        <v>5</v>
      </c>
      <c r="K38">
        <f>Other!C15</f>
        <v>351702</v>
      </c>
      <c r="L38">
        <f t="shared" si="2"/>
        <v>0.018598355125771654</v>
      </c>
      <c r="M38">
        <f t="shared" si="3"/>
        <v>39433.1252587071</v>
      </c>
      <c r="N38">
        <f>Other!E15</f>
        <v>336582</v>
      </c>
      <c r="O38">
        <f t="shared" si="4"/>
        <v>0.016781340305490573</v>
      </c>
      <c r="P38">
        <f t="shared" si="5"/>
        <v>37541.77133617724</v>
      </c>
    </row>
    <row r="39" spans="1:16" ht="12.75">
      <c r="A39" s="1"/>
      <c r="B39" s="1"/>
      <c r="C39" s="3"/>
      <c r="D39" s="12"/>
      <c r="E39" s="12"/>
      <c r="I39" t="s">
        <v>38</v>
      </c>
      <c r="K39">
        <f>Other!C71</f>
        <v>50177</v>
      </c>
      <c r="L39">
        <f t="shared" si="2"/>
        <v>0.0026534101743687674</v>
      </c>
      <c r="M39">
        <f t="shared" si="3"/>
        <v>5625.887615385031</v>
      </c>
      <c r="N39">
        <f>Other!E71</f>
        <v>49040</v>
      </c>
      <c r="O39">
        <f t="shared" si="4"/>
        <v>0.0024450414121410468</v>
      </c>
      <c r="P39">
        <f t="shared" si="5"/>
        <v>5469.836373680506</v>
      </c>
    </row>
    <row r="40" spans="1:16" ht="12.75">
      <c r="A40" s="1"/>
      <c r="B40" s="1"/>
      <c r="C40" s="18">
        <f>C37+C38</f>
        <v>2120248</v>
      </c>
      <c r="D40" s="18"/>
      <c r="E40" s="18">
        <f>E37+E39</f>
        <v>2237114</v>
      </c>
      <c r="I40" t="s">
        <v>247</v>
      </c>
      <c r="K40">
        <f>C47</f>
        <v>1597348</v>
      </c>
      <c r="L40">
        <f t="shared" si="2"/>
        <v>0.08446936714446064</v>
      </c>
      <c r="M40">
        <f t="shared" si="3"/>
        <v>179096.00674930838</v>
      </c>
      <c r="N40">
        <f>E47</f>
        <v>1772406</v>
      </c>
      <c r="O40">
        <f t="shared" si="4"/>
        <v>0.08836880238840261</v>
      </c>
      <c r="P40">
        <f t="shared" si="5"/>
        <v>197691.08498632893</v>
      </c>
    </row>
    <row r="41" spans="3:16" ht="12.75">
      <c r="C41" s="3"/>
      <c r="I41" t="s">
        <v>127</v>
      </c>
      <c r="K41">
        <f>C76</f>
        <v>2022851</v>
      </c>
      <c r="L41">
        <f t="shared" si="2"/>
        <v>0.10697039330035744</v>
      </c>
      <c r="M41">
        <f t="shared" si="3"/>
        <v>226803.76245429626</v>
      </c>
      <c r="N41">
        <f>E76</f>
        <v>2112236</v>
      </c>
      <c r="O41">
        <f t="shared" si="4"/>
        <v>0.10531208181515407</v>
      </c>
      <c r="P41">
        <f t="shared" si="5"/>
        <v>235595.1325978266</v>
      </c>
    </row>
    <row r="42" spans="9:16" ht="12.75">
      <c r="I42" t="s">
        <v>128</v>
      </c>
      <c r="K42">
        <f>C97</f>
        <v>280612</v>
      </c>
      <c r="L42">
        <f t="shared" si="2"/>
        <v>0.014839044499471243</v>
      </c>
      <c r="M42">
        <f t="shared" si="3"/>
        <v>31462.454421914903</v>
      </c>
      <c r="N42">
        <f>E97</f>
        <v>288114</v>
      </c>
      <c r="O42">
        <f t="shared" si="4"/>
        <v>0.014364817728743994</v>
      </c>
      <c r="P42">
        <f t="shared" si="5"/>
        <v>32135.73484842139</v>
      </c>
    </row>
    <row r="43" spans="3:16" ht="12.75">
      <c r="C43" s="12"/>
      <c r="I43" t="s">
        <v>248</v>
      </c>
      <c r="K43">
        <f>C30</f>
        <v>1818480</v>
      </c>
      <c r="L43">
        <f t="shared" si="2"/>
        <v>0.09616304948255408</v>
      </c>
      <c r="M43">
        <f t="shared" si="3"/>
        <v>203889.51333928632</v>
      </c>
      <c r="N43">
        <f>E30</f>
        <v>1918701</v>
      </c>
      <c r="O43">
        <f t="shared" si="4"/>
        <v>0.09566279368916066</v>
      </c>
      <c r="P43">
        <f t="shared" si="5"/>
        <v>214008.57504113295</v>
      </c>
    </row>
    <row r="44" spans="3:16" ht="12.75">
      <c r="C44" s="12"/>
      <c r="I44" s="33" t="s">
        <v>7</v>
      </c>
      <c r="K44" s="3">
        <f>Other!C72</f>
        <v>53004</v>
      </c>
      <c r="L44">
        <f t="shared" si="2"/>
        <v>0.0028029047747422553</v>
      </c>
      <c r="M44" s="34">
        <f t="shared" si="3"/>
        <v>5942.8532428377175</v>
      </c>
      <c r="N44" s="34">
        <f>Other!E72</f>
        <v>54671</v>
      </c>
      <c r="O44">
        <f>N44/$N$45</f>
        <v>0.002725792394844273</v>
      </c>
      <c r="P44" s="34">
        <f>O44*$E$40</f>
        <v>6097.908327599651</v>
      </c>
    </row>
    <row r="45" spans="1:16" ht="12.75">
      <c r="A45" t="s">
        <v>40</v>
      </c>
      <c r="B45" t="s">
        <v>241</v>
      </c>
      <c r="K45" s="3">
        <f aca="true" t="shared" si="6" ref="K45:P45">SUM(K30:K44)</f>
        <v>18910382</v>
      </c>
      <c r="L45">
        <f t="shared" si="6"/>
        <v>1</v>
      </c>
      <c r="M45" s="34">
        <f t="shared" si="6"/>
        <v>2120248.0000000005</v>
      </c>
      <c r="N45" s="34">
        <f t="shared" si="6"/>
        <v>20056920</v>
      </c>
      <c r="O45">
        <f t="shared" si="6"/>
        <v>1</v>
      </c>
      <c r="P45" s="34">
        <f t="shared" si="6"/>
        <v>2237113.9999999995</v>
      </c>
    </row>
    <row r="46" spans="1:5" ht="12.75">
      <c r="A46" s="17" t="s">
        <v>132</v>
      </c>
      <c r="B46" s="1"/>
      <c r="C46" s="1"/>
      <c r="D46" s="1"/>
      <c r="E46" s="1"/>
    </row>
    <row r="47" spans="1:5" ht="12.75">
      <c r="A47" s="1" t="s">
        <v>19</v>
      </c>
      <c r="B47" s="1"/>
      <c r="C47" s="18">
        <v>1597348</v>
      </c>
      <c r="D47" s="18"/>
      <c r="E47" s="18">
        <v>1772406</v>
      </c>
    </row>
    <row r="48" spans="1:13" ht="12.75">
      <c r="A48" s="1" t="s">
        <v>135</v>
      </c>
      <c r="B48" s="1"/>
      <c r="C48" s="18">
        <v>192000</v>
      </c>
      <c r="D48" s="18"/>
      <c r="E48" s="18">
        <v>200000</v>
      </c>
      <c r="H48" s="25" t="s">
        <v>243</v>
      </c>
      <c r="I48" s="1"/>
      <c r="J48" s="1"/>
      <c r="K48" s="1"/>
      <c r="L48" s="1"/>
      <c r="M48" s="1"/>
    </row>
    <row r="49" spans="1:13" ht="12.75">
      <c r="A49" s="1" t="s">
        <v>137</v>
      </c>
      <c r="B49" s="1"/>
      <c r="C49" s="18">
        <v>46700</v>
      </c>
      <c r="D49" s="18"/>
      <c r="E49" s="18">
        <v>47200</v>
      </c>
      <c r="H49" s="1"/>
      <c r="I49" s="1"/>
      <c r="J49" s="1"/>
      <c r="K49" s="1"/>
      <c r="L49" s="17">
        <v>2005</v>
      </c>
      <c r="M49" s="17">
        <v>2006</v>
      </c>
    </row>
    <row r="50" spans="1:15" ht="12.75">
      <c r="A50" s="1" t="s">
        <v>138</v>
      </c>
      <c r="B50" s="1"/>
      <c r="C50" s="18">
        <v>8674</v>
      </c>
      <c r="D50" s="18"/>
      <c r="E50" s="18">
        <v>8846</v>
      </c>
      <c r="H50" s="1" t="s">
        <v>133</v>
      </c>
      <c r="I50" s="1"/>
      <c r="J50" s="1">
        <v>4400</v>
      </c>
      <c r="K50" s="1"/>
      <c r="L50" s="18">
        <f aca="true" t="shared" si="7" ref="L50:L64">$C$72*(J50/$J$65)</f>
        <v>25546.652248843562</v>
      </c>
      <c r="M50" s="18">
        <f aca="true" t="shared" si="8" ref="M50:M64">$E$72*(J50/$J$65)</f>
        <v>27325.661774379874</v>
      </c>
      <c r="O50" t="s">
        <v>240</v>
      </c>
    </row>
    <row r="51" spans="1:15" ht="15">
      <c r="A51" s="1" t="s">
        <v>29</v>
      </c>
      <c r="B51" s="1"/>
      <c r="C51" s="18">
        <v>12101</v>
      </c>
      <c r="D51" s="18"/>
      <c r="E51" s="18">
        <v>12456</v>
      </c>
      <c r="H51" s="1" t="s">
        <v>134</v>
      </c>
      <c r="I51" s="1"/>
      <c r="J51" s="1">
        <v>1400</v>
      </c>
      <c r="K51" s="1"/>
      <c r="L51" s="29">
        <f t="shared" si="7"/>
        <v>8128.480260995679</v>
      </c>
      <c r="M51" s="18">
        <f t="shared" si="8"/>
        <v>8694.528746393597</v>
      </c>
      <c r="O51" t="s">
        <v>255</v>
      </c>
    </row>
    <row r="52" spans="1:13" ht="15">
      <c r="A52" s="1" t="s">
        <v>140</v>
      </c>
      <c r="B52" s="1"/>
      <c r="C52" s="18">
        <v>1209</v>
      </c>
      <c r="D52" s="18"/>
      <c r="E52" s="18">
        <v>1185</v>
      </c>
      <c r="H52" s="1" t="s">
        <v>136</v>
      </c>
      <c r="I52" s="1"/>
      <c r="J52" s="1">
        <v>3700</v>
      </c>
      <c r="K52" s="1"/>
      <c r="L52" s="51">
        <f t="shared" si="7"/>
        <v>21482.41211834572</v>
      </c>
      <c r="M52" s="18">
        <f t="shared" si="8"/>
        <v>22978.397401183076</v>
      </c>
    </row>
    <row r="53" spans="1:15" ht="15">
      <c r="A53" s="1" t="s">
        <v>31</v>
      </c>
      <c r="B53" s="1"/>
      <c r="C53" s="18">
        <v>8965</v>
      </c>
      <c r="D53" s="18"/>
      <c r="E53" s="18">
        <v>9352</v>
      </c>
      <c r="H53" s="1" t="s">
        <v>44</v>
      </c>
      <c r="I53" s="1"/>
      <c r="J53" s="1">
        <v>18800</v>
      </c>
      <c r="K53" s="1"/>
      <c r="L53" s="51">
        <f t="shared" si="7"/>
        <v>109153.87779051339</v>
      </c>
      <c r="M53" s="18">
        <f t="shared" si="8"/>
        <v>116755.100308714</v>
      </c>
      <c r="O53" s="3">
        <f>L52+L53+L54+L61</f>
        <v>156182.94215770267</v>
      </c>
    </row>
    <row r="54" spans="1:13" ht="15">
      <c r="A54" s="1" t="s">
        <v>142</v>
      </c>
      <c r="B54" s="1"/>
      <c r="C54" s="18">
        <v>51972</v>
      </c>
      <c r="D54" s="18"/>
      <c r="E54" s="18">
        <v>53772</v>
      </c>
      <c r="H54" s="1" t="s">
        <v>46</v>
      </c>
      <c r="I54" s="1"/>
      <c r="J54" s="1">
        <v>800</v>
      </c>
      <c r="K54" s="1"/>
      <c r="L54" s="51">
        <f t="shared" si="7"/>
        <v>4644.8458634261015</v>
      </c>
      <c r="M54" s="18">
        <f t="shared" si="8"/>
        <v>4968.302140796341</v>
      </c>
    </row>
    <row r="55" spans="1:13" ht="15">
      <c r="A55" s="1" t="s">
        <v>143</v>
      </c>
      <c r="B55" s="1"/>
      <c r="C55" s="18"/>
      <c r="D55" s="18"/>
      <c r="E55" s="18"/>
      <c r="H55" s="1" t="s">
        <v>139</v>
      </c>
      <c r="I55" s="1"/>
      <c r="J55" s="1">
        <v>1200</v>
      </c>
      <c r="K55" s="1"/>
      <c r="L55" s="52">
        <f t="shared" si="7"/>
        <v>6967.268795139153</v>
      </c>
      <c r="M55" s="18">
        <f t="shared" si="8"/>
        <v>7452.45321119451</v>
      </c>
    </row>
    <row r="56" spans="1:13" ht="15">
      <c r="A56" s="1" t="s">
        <v>145</v>
      </c>
      <c r="B56" s="1"/>
      <c r="C56" s="18">
        <v>26987</v>
      </c>
      <c r="D56" s="18"/>
      <c r="E56" s="18">
        <v>27382</v>
      </c>
      <c r="H56" s="1" t="s">
        <v>141</v>
      </c>
      <c r="I56" s="1"/>
      <c r="J56" s="1">
        <v>5500</v>
      </c>
      <c r="K56" s="1"/>
      <c r="L56" s="52">
        <f t="shared" si="7"/>
        <v>31933.31531105445</v>
      </c>
      <c r="M56" s="18">
        <f t="shared" si="8"/>
        <v>34157.07721797484</v>
      </c>
    </row>
    <row r="57" spans="1:13" ht="15">
      <c r="A57" s="1" t="s">
        <v>147</v>
      </c>
      <c r="B57" s="1"/>
      <c r="C57" s="18">
        <v>55100</v>
      </c>
      <c r="D57" s="18"/>
      <c r="E57" s="18">
        <v>58753</v>
      </c>
      <c r="H57" s="1" t="s">
        <v>60</v>
      </c>
      <c r="I57" s="1"/>
      <c r="J57" s="1">
        <v>4100</v>
      </c>
      <c r="K57" s="1"/>
      <c r="L57" s="51">
        <f t="shared" si="7"/>
        <v>23804.835050058773</v>
      </c>
      <c r="M57" s="18">
        <f t="shared" si="8"/>
        <v>25462.548471581245</v>
      </c>
    </row>
    <row r="58" spans="1:15" ht="15">
      <c r="A58" s="1" t="s">
        <v>148</v>
      </c>
      <c r="B58" s="1"/>
      <c r="C58" s="18">
        <v>19878</v>
      </c>
      <c r="D58" s="18"/>
      <c r="E58" s="18">
        <v>20066</v>
      </c>
      <c r="H58" s="1" t="s">
        <v>38</v>
      </c>
      <c r="I58" s="1"/>
      <c r="J58" s="1">
        <v>1700</v>
      </c>
      <c r="K58" s="1"/>
      <c r="L58" s="52">
        <f t="shared" si="7"/>
        <v>9870.297459780466</v>
      </c>
      <c r="M58" s="18">
        <f t="shared" si="8"/>
        <v>10557.642049192224</v>
      </c>
      <c r="O58" s="3">
        <f>L55+L56+L59</f>
        <v>4418409.62758408</v>
      </c>
    </row>
    <row r="59" spans="1:13" ht="15">
      <c r="A59" s="1" t="s">
        <v>150</v>
      </c>
      <c r="B59" s="1"/>
      <c r="C59" s="18">
        <v>16573</v>
      </c>
      <c r="D59" s="18"/>
      <c r="E59" s="18">
        <v>14606</v>
      </c>
      <c r="H59" s="1" t="s">
        <v>144</v>
      </c>
      <c r="I59" s="1"/>
      <c r="J59" s="1">
        <v>754300</v>
      </c>
      <c r="K59" s="1"/>
      <c r="L59" s="52">
        <f t="shared" si="7"/>
        <v>4379509.043477886</v>
      </c>
      <c r="M59" s="18">
        <f t="shared" si="8"/>
        <v>4684487.88100335</v>
      </c>
    </row>
    <row r="60" spans="1:15" ht="15">
      <c r="A60" s="1" t="s">
        <v>153</v>
      </c>
      <c r="B60" s="1"/>
      <c r="C60" s="12">
        <v>19062</v>
      </c>
      <c r="D60" s="18"/>
      <c r="E60" s="12">
        <v>18742</v>
      </c>
      <c r="H60" s="1" t="s">
        <v>146</v>
      </c>
      <c r="I60" s="1"/>
      <c r="J60" s="1">
        <v>1700</v>
      </c>
      <c r="K60" s="1"/>
      <c r="L60" s="55">
        <f t="shared" si="7"/>
        <v>9870.297459780466</v>
      </c>
      <c r="M60" s="18">
        <f t="shared" si="8"/>
        <v>10557.642049192224</v>
      </c>
      <c r="O60" s="3">
        <f>L60+L51</f>
        <v>17998.777720776146</v>
      </c>
    </row>
    <row r="61" spans="1:13" ht="15">
      <c r="A61" s="1"/>
      <c r="B61" s="1"/>
      <c r="C61" s="18">
        <f>SUM(C47:C60)</f>
        <v>2056569</v>
      </c>
      <c r="D61" s="18"/>
      <c r="E61" s="18">
        <f>SUM(E47:E60)</f>
        <v>2244766</v>
      </c>
      <c r="H61" s="1" t="s">
        <v>45</v>
      </c>
      <c r="I61" s="1"/>
      <c r="J61" s="1">
        <v>3600</v>
      </c>
      <c r="K61" s="1"/>
      <c r="L61" s="51">
        <f t="shared" si="7"/>
        <v>20901.806385417458</v>
      </c>
      <c r="M61" s="18">
        <f t="shared" si="8"/>
        <v>22357.359633583532</v>
      </c>
    </row>
    <row r="62" spans="1:13" ht="12.75">
      <c r="A62" s="1"/>
      <c r="B62" s="1"/>
      <c r="C62" s="20"/>
      <c r="D62" s="1"/>
      <c r="E62" s="1"/>
      <c r="H62" s="1" t="s">
        <v>149</v>
      </c>
      <c r="I62" s="1"/>
      <c r="J62" s="1">
        <v>300</v>
      </c>
      <c r="K62" s="1"/>
      <c r="L62" s="18">
        <f t="shared" si="7"/>
        <v>1741.8171987847882</v>
      </c>
      <c r="M62" s="18">
        <f t="shared" si="8"/>
        <v>1863.1133027986275</v>
      </c>
    </row>
    <row r="63" spans="1:13" ht="12.75">
      <c r="A63" s="17" t="s">
        <v>155</v>
      </c>
      <c r="B63" s="1"/>
      <c r="C63" s="1"/>
      <c r="D63" s="1"/>
      <c r="E63" s="1"/>
      <c r="H63" s="1" t="s">
        <v>151</v>
      </c>
      <c r="I63" s="1"/>
      <c r="J63" s="1">
        <v>800</v>
      </c>
      <c r="K63" s="1"/>
      <c r="L63" s="18">
        <f t="shared" si="7"/>
        <v>4644.8458634261015</v>
      </c>
      <c r="M63" s="18">
        <f t="shared" si="8"/>
        <v>4968.302140796341</v>
      </c>
    </row>
    <row r="64" spans="1:13" ht="12.75">
      <c r="A64" s="1" t="s">
        <v>156</v>
      </c>
      <c r="B64" s="1"/>
      <c r="C64" s="18">
        <v>968984</v>
      </c>
      <c r="D64" s="18"/>
      <c r="E64" s="18">
        <v>1039806</v>
      </c>
      <c r="H64" s="1" t="s">
        <v>5</v>
      </c>
      <c r="I64" s="1"/>
      <c r="J64" s="17">
        <v>200</v>
      </c>
      <c r="K64" s="1"/>
      <c r="L64" s="18">
        <f t="shared" si="7"/>
        <v>1161.2114658565254</v>
      </c>
      <c r="M64" s="18">
        <f t="shared" si="8"/>
        <v>1242.0755351990852</v>
      </c>
    </row>
    <row r="65" spans="1:13" ht="12.75">
      <c r="A65" s="1" t="s">
        <v>157</v>
      </c>
      <c r="B65" s="1"/>
      <c r="C65" s="18">
        <v>526033</v>
      </c>
      <c r="D65" s="18"/>
      <c r="E65" s="18">
        <v>542776</v>
      </c>
      <c r="H65" s="1"/>
      <c r="I65" s="1"/>
      <c r="J65" s="1">
        <f>SUM(J50:J64)</f>
        <v>802500</v>
      </c>
      <c r="K65" s="1"/>
      <c r="L65" s="18">
        <f>SUM(L50:L64)</f>
        <v>4659361.006749309</v>
      </c>
      <c r="M65" s="18">
        <f>SUM(M50:M64)</f>
        <v>4983828.08498633</v>
      </c>
    </row>
    <row r="66" spans="1:5" ht="12.75">
      <c r="A66" s="1" t="s">
        <v>158</v>
      </c>
      <c r="B66" s="1"/>
      <c r="C66" s="12">
        <v>322809</v>
      </c>
      <c r="D66" s="12"/>
      <c r="E66" s="12">
        <v>344044</v>
      </c>
    </row>
    <row r="67" spans="1:5" ht="12.75">
      <c r="A67" s="1"/>
      <c r="B67" s="1"/>
      <c r="C67" s="20">
        <f>SUM(C64:C66)</f>
        <v>1817826</v>
      </c>
      <c r="D67" s="12"/>
      <c r="E67" s="20">
        <f>SUM(E64:E66)</f>
        <v>1926626</v>
      </c>
    </row>
    <row r="69" spans="1:5" ht="12.75">
      <c r="A69" s="1" t="s">
        <v>160</v>
      </c>
      <c r="B69" s="1"/>
      <c r="C69" s="12">
        <v>605870</v>
      </c>
      <c r="D69" s="12"/>
      <c r="E69" s="12">
        <v>614745</v>
      </c>
    </row>
    <row r="70" spans="1:5" ht="12.75">
      <c r="A70" s="1"/>
      <c r="B70" s="1"/>
      <c r="C70" s="18"/>
      <c r="D70" s="18"/>
      <c r="E70" s="18"/>
    </row>
    <row r="71" spans="1:5" ht="12.75">
      <c r="A71" s="25" t="s">
        <v>253</v>
      </c>
      <c r="B71" s="1"/>
      <c r="C71" s="18">
        <f>M40</f>
        <v>179096.00674930838</v>
      </c>
      <c r="D71" s="18"/>
      <c r="E71" s="18">
        <f>P40</f>
        <v>197691.08498632893</v>
      </c>
    </row>
    <row r="72" spans="1:5" ht="12.75">
      <c r="A72" s="25" t="s">
        <v>189</v>
      </c>
      <c r="B72" s="1"/>
      <c r="C72" s="19">
        <f>C61+C67+C69+C71</f>
        <v>4659361.006749309</v>
      </c>
      <c r="D72" s="19"/>
      <c r="E72" s="19">
        <f>E61+E67+E69+E71</f>
        <v>4983828.084986329</v>
      </c>
    </row>
    <row r="74" ht="12.75">
      <c r="A74" t="s">
        <v>258</v>
      </c>
    </row>
    <row r="75" spans="1:8" ht="12.75">
      <c r="A75" s="17" t="s">
        <v>180</v>
      </c>
      <c r="B75" s="1"/>
      <c r="C75" s="18"/>
      <c r="D75" s="18"/>
      <c r="E75" s="18"/>
      <c r="H75" t="s">
        <v>242</v>
      </c>
    </row>
    <row r="76" spans="1:5" ht="12.75">
      <c r="A76" s="1" t="s">
        <v>19</v>
      </c>
      <c r="B76" s="1"/>
      <c r="C76" s="18">
        <v>2022851</v>
      </c>
      <c r="D76" s="18"/>
      <c r="E76" s="18">
        <v>2112236</v>
      </c>
    </row>
    <row r="77" spans="1:12" ht="12.75">
      <c r="A77" s="1" t="s">
        <v>171</v>
      </c>
      <c r="B77" s="1"/>
      <c r="C77" s="18">
        <v>119573</v>
      </c>
      <c r="D77" s="18"/>
      <c r="E77" s="18">
        <v>123964</v>
      </c>
      <c r="H77" s="1"/>
      <c r="I77" s="17">
        <v>2005</v>
      </c>
      <c r="J77" s="17"/>
      <c r="K77" s="17">
        <v>2006</v>
      </c>
      <c r="L77" s="1"/>
    </row>
    <row r="78" spans="1:12" ht="12.75">
      <c r="A78" s="1" t="s">
        <v>181</v>
      </c>
      <c r="B78" s="1"/>
      <c r="C78" s="18">
        <v>37519</v>
      </c>
      <c r="D78" s="18"/>
      <c r="E78" s="18">
        <v>33892</v>
      </c>
      <c r="H78" s="1" t="s">
        <v>167</v>
      </c>
      <c r="I78" s="18">
        <f>Rooms!C13</f>
        <v>27091264.04</v>
      </c>
      <c r="J78" s="18">
        <f>(I78/$I$87)*C111</f>
        <v>2803268.301577374</v>
      </c>
      <c r="K78" s="18">
        <f>Rooms!E13</f>
        <v>27307689.08</v>
      </c>
      <c r="L78" s="18">
        <f>(K78/$K$87)*E111</f>
        <v>3021051.3616532106</v>
      </c>
    </row>
    <row r="79" spans="1:12" ht="12.75">
      <c r="A79" s="1" t="s">
        <v>175</v>
      </c>
      <c r="B79" s="1"/>
      <c r="C79" s="18">
        <v>47620</v>
      </c>
      <c r="D79" s="18"/>
      <c r="E79" s="18">
        <v>50035</v>
      </c>
      <c r="H79" s="1" t="s">
        <v>169</v>
      </c>
      <c r="I79" s="18">
        <f>F_B!D56</f>
        <v>6647321</v>
      </c>
      <c r="J79" s="18">
        <f aca="true" t="shared" si="9" ref="J79:J86">(I79/$I$87)*$C$111</f>
        <v>687831.4803693306</v>
      </c>
      <c r="K79" s="18">
        <f>F_B!D9</f>
        <v>6513192</v>
      </c>
      <c r="L79" s="18">
        <f aca="true" t="shared" si="10" ref="L79:L86">(K79/$K$87)*$E$111</f>
        <v>720554.8408971705</v>
      </c>
    </row>
    <row r="80" spans="1:12" ht="12.75">
      <c r="A80" s="1" t="s">
        <v>22</v>
      </c>
      <c r="B80" s="1"/>
      <c r="C80" s="18">
        <v>42170</v>
      </c>
      <c r="D80" s="18"/>
      <c r="E80" s="18">
        <v>50738</v>
      </c>
      <c r="H80" s="1" t="s">
        <v>45</v>
      </c>
      <c r="I80" s="3">
        <f>F_B!E56</f>
        <v>1412200</v>
      </c>
      <c r="J80" s="18">
        <f t="shared" si="9"/>
        <v>146127.38223076164</v>
      </c>
      <c r="K80" s="18">
        <f>F_B!E9</f>
        <v>1473296</v>
      </c>
      <c r="L80" s="18">
        <f t="shared" si="10"/>
        <v>162990.8292085413</v>
      </c>
    </row>
    <row r="81" spans="1:12" ht="12.75">
      <c r="A81" s="1" t="s">
        <v>182</v>
      </c>
      <c r="B81" s="1"/>
      <c r="C81" s="18">
        <v>183982</v>
      </c>
      <c r="D81" s="18"/>
      <c r="E81" s="18">
        <v>305632</v>
      </c>
      <c r="H81" s="1" t="s">
        <v>172</v>
      </c>
      <c r="I81" s="18">
        <f>F_B!F56</f>
        <v>534408</v>
      </c>
      <c r="J81" s="18">
        <f t="shared" si="9"/>
        <v>55297.86296783519</v>
      </c>
      <c r="K81" s="18">
        <f>F_B!F9</f>
        <v>552297</v>
      </c>
      <c r="L81" s="18">
        <f t="shared" si="10"/>
        <v>61100.65187130742</v>
      </c>
    </row>
    <row r="82" spans="1:12" ht="12.75">
      <c r="A82" s="1" t="s">
        <v>183</v>
      </c>
      <c r="B82" s="1"/>
      <c r="C82" s="18">
        <v>21815</v>
      </c>
      <c r="D82" s="18"/>
      <c r="E82" s="18">
        <v>22719</v>
      </c>
      <c r="H82" s="1" t="s">
        <v>47</v>
      </c>
      <c r="I82" s="18">
        <f>F_B!G56</f>
        <v>523597</v>
      </c>
      <c r="J82" s="18">
        <f t="shared" si="9"/>
        <v>54179.19484058922</v>
      </c>
      <c r="K82" s="3">
        <f>F_B!G9</f>
        <v>541735</v>
      </c>
      <c r="L82" s="18">
        <f>(K83/$K$87)*$E$111</f>
        <v>30370.38613828258</v>
      </c>
    </row>
    <row r="83" spans="1:14" ht="12.75">
      <c r="A83" s="1" t="s">
        <v>184</v>
      </c>
      <c r="B83" s="1"/>
      <c r="C83" s="18">
        <v>17833</v>
      </c>
      <c r="D83" s="18"/>
      <c r="E83" s="18">
        <v>16407</v>
      </c>
      <c r="H83" s="1" t="s">
        <v>48</v>
      </c>
      <c r="I83" s="18">
        <f>F_B!H56</f>
        <v>263089</v>
      </c>
      <c r="J83" s="18">
        <f t="shared" si="9"/>
        <v>27223.131896125793</v>
      </c>
      <c r="K83" s="18">
        <f>F_B!H9</f>
        <v>274522</v>
      </c>
      <c r="L83" s="18">
        <f>(K84/$K$87)*$E$111</f>
        <v>93203.94731547464</v>
      </c>
      <c r="N83" s="3">
        <f>SUM(J79:J83)</f>
        <v>970659.0523046425</v>
      </c>
    </row>
    <row r="84" spans="1:12" ht="12.75">
      <c r="A84" s="1" t="s">
        <v>185</v>
      </c>
      <c r="B84" s="1"/>
      <c r="C84" s="18">
        <v>169947</v>
      </c>
      <c r="D84" s="18"/>
      <c r="E84" s="18">
        <v>188605</v>
      </c>
      <c r="H84" s="1" t="s">
        <v>5</v>
      </c>
      <c r="I84" s="18">
        <f>Other!C13</f>
        <v>930804</v>
      </c>
      <c r="J84" s="18">
        <f t="shared" si="9"/>
        <v>96314.9354835872</v>
      </c>
      <c r="K84" s="3">
        <f>Other!E13</f>
        <v>842483</v>
      </c>
      <c r="L84" s="18">
        <f t="shared" si="10"/>
        <v>93203.94731547464</v>
      </c>
    </row>
    <row r="85" spans="1:12" ht="12.75">
      <c r="A85" s="1" t="s">
        <v>29</v>
      </c>
      <c r="B85" s="1"/>
      <c r="C85" s="18">
        <v>19851</v>
      </c>
      <c r="D85" s="18"/>
      <c r="E85" s="18">
        <v>20048</v>
      </c>
      <c r="H85" s="1" t="s">
        <v>6</v>
      </c>
      <c r="I85" s="18">
        <f>Other!C37</f>
        <v>1333431</v>
      </c>
      <c r="J85" s="18">
        <f t="shared" si="9"/>
        <v>137976.76066799797</v>
      </c>
      <c r="K85" s="18">
        <f>Other!E37</f>
        <v>1192332</v>
      </c>
      <c r="L85" s="18">
        <f t="shared" si="10"/>
        <v>131907.76420480234</v>
      </c>
    </row>
    <row r="86" spans="1:12" ht="12.75">
      <c r="A86" s="1" t="s">
        <v>186</v>
      </c>
      <c r="B86" s="1"/>
      <c r="C86" s="18">
        <v>43862</v>
      </c>
      <c r="D86" s="18"/>
      <c r="E86" s="18">
        <v>45883</v>
      </c>
      <c r="H86" s="1" t="s">
        <v>7</v>
      </c>
      <c r="I86" s="12">
        <f>Other!C68</f>
        <v>507386</v>
      </c>
      <c r="J86" s="18">
        <f t="shared" si="9"/>
        <v>52501.761762170536</v>
      </c>
      <c r="K86" s="12">
        <f>Other!E68</f>
        <v>479338</v>
      </c>
      <c r="L86" s="18">
        <f t="shared" si="10"/>
        <v>53029.19310930307</v>
      </c>
    </row>
    <row r="87" spans="1:12" ht="12.75">
      <c r="A87" s="1" t="s">
        <v>187</v>
      </c>
      <c r="B87" s="1"/>
      <c r="C87" s="18">
        <v>132971</v>
      </c>
      <c r="D87" s="18"/>
      <c r="E87" s="18">
        <v>141076</v>
      </c>
      <c r="H87" s="1"/>
      <c r="I87" s="18">
        <f>SUM(I78:I86)</f>
        <v>39243500.04</v>
      </c>
      <c r="J87" s="18">
        <f>SUM(J78:J86)</f>
        <v>4060720.811795772</v>
      </c>
      <c r="K87" s="18">
        <f>SUM(K78:K86)</f>
        <v>39176884.08</v>
      </c>
      <c r="L87" s="18">
        <f>SUM(L78:L86)</f>
        <v>4367412.921713566</v>
      </c>
    </row>
    <row r="88" spans="1:5" ht="12.75">
      <c r="A88" s="1" t="s">
        <v>31</v>
      </c>
      <c r="B88" s="1"/>
      <c r="C88" s="18">
        <v>2692</v>
      </c>
      <c r="D88" s="18"/>
      <c r="E88" s="18">
        <v>2816</v>
      </c>
    </row>
    <row r="89" spans="1:5" ht="12.75">
      <c r="A89" s="1" t="s">
        <v>32</v>
      </c>
      <c r="B89" s="1"/>
      <c r="C89" s="12">
        <v>8206</v>
      </c>
      <c r="D89" s="12"/>
      <c r="E89" s="12">
        <v>8513</v>
      </c>
    </row>
    <row r="90" spans="1:5" ht="12.75">
      <c r="A90" s="1"/>
      <c r="B90" s="1"/>
      <c r="C90" s="18">
        <f>SUM(C76:C89)</f>
        <v>2870892</v>
      </c>
      <c r="D90" s="18"/>
      <c r="E90" s="18">
        <f>SUM(E76:E89)</f>
        <v>3122564</v>
      </c>
    </row>
    <row r="91" spans="1:5" ht="12.75">
      <c r="A91" s="1" t="s">
        <v>232</v>
      </c>
      <c r="B91" s="1"/>
      <c r="C91" s="18">
        <v>-150000</v>
      </c>
      <c r="D91" s="18"/>
      <c r="E91" s="18">
        <v>-150000</v>
      </c>
    </row>
    <row r="92" spans="1:5" ht="12.75">
      <c r="A92" s="1" t="s">
        <v>80</v>
      </c>
      <c r="B92" s="1"/>
      <c r="C92" s="12">
        <f>M41</f>
        <v>226803.76245429626</v>
      </c>
      <c r="D92" s="12"/>
      <c r="E92" s="12">
        <f>P41</f>
        <v>235595.1325978266</v>
      </c>
    </row>
    <row r="93" spans="1:5" ht="12.75">
      <c r="A93" s="1" t="s">
        <v>256</v>
      </c>
      <c r="B93" s="1"/>
      <c r="C93" s="12">
        <f>L51+L60</f>
        <v>17998.777720776146</v>
      </c>
      <c r="D93" s="12"/>
      <c r="E93" s="12">
        <f>M60+M51</f>
        <v>19252.170795585822</v>
      </c>
    </row>
    <row r="94" spans="1:5" ht="12.75">
      <c r="A94" s="1"/>
      <c r="B94" s="1"/>
      <c r="C94" s="18">
        <f>C90+C92+C91+C93</f>
        <v>2965694.5401750724</v>
      </c>
      <c r="D94" s="18"/>
      <c r="E94" s="18">
        <f>E90+E92+E91+E93</f>
        <v>3227411.3033934124</v>
      </c>
    </row>
    <row r="95" spans="1:5" ht="12.75">
      <c r="A95" s="1"/>
      <c r="B95" s="1"/>
      <c r="C95" s="18"/>
      <c r="D95" s="18"/>
      <c r="E95" s="18"/>
    </row>
    <row r="96" spans="1:5" ht="12.75">
      <c r="A96" s="17" t="s">
        <v>188</v>
      </c>
      <c r="B96" s="1"/>
      <c r="C96" s="18"/>
      <c r="D96" s="18"/>
      <c r="E96" s="18"/>
    </row>
    <row r="97" spans="1:10" ht="12.75">
      <c r="A97" s="1" t="s">
        <v>19</v>
      </c>
      <c r="B97" s="1"/>
      <c r="C97" s="18">
        <v>280612</v>
      </c>
      <c r="D97" s="18"/>
      <c r="E97" s="18">
        <v>288114</v>
      </c>
      <c r="J97" s="43"/>
    </row>
    <row r="98" spans="1:5" ht="12.75">
      <c r="A98" s="1" t="s">
        <v>29</v>
      </c>
      <c r="B98" s="1"/>
      <c r="C98" s="12">
        <v>3572</v>
      </c>
      <c r="D98" s="12"/>
      <c r="E98" s="12">
        <v>3682</v>
      </c>
    </row>
    <row r="99" spans="1:5" ht="12.75">
      <c r="A99" s="1"/>
      <c r="B99" s="1"/>
      <c r="C99" s="18">
        <f>SUM(C97:C98)</f>
        <v>284184</v>
      </c>
      <c r="D99" s="18"/>
      <c r="E99" s="18">
        <f>SUM(E97:E98)</f>
        <v>291796</v>
      </c>
    </row>
    <row r="100" spans="1:5" ht="12.75">
      <c r="A100" s="1" t="s">
        <v>80</v>
      </c>
      <c r="B100" s="1"/>
      <c r="C100" s="12">
        <f>M42</f>
        <v>31462.454421914903</v>
      </c>
      <c r="D100" s="17"/>
      <c r="E100" s="34">
        <f>P42</f>
        <v>32135.73484842139</v>
      </c>
    </row>
    <row r="101" spans="1:5" ht="12.75">
      <c r="A101" s="1" t="s">
        <v>256</v>
      </c>
      <c r="B101" s="1"/>
      <c r="C101" s="12">
        <f>L62</f>
        <v>1741.8171987847882</v>
      </c>
      <c r="D101" s="17"/>
      <c r="E101" s="12">
        <f>M62</f>
        <v>1863.1133027986275</v>
      </c>
    </row>
    <row r="102" spans="1:5" ht="12.75">
      <c r="A102" s="1"/>
      <c r="B102" s="1"/>
      <c r="C102" s="18">
        <f>C99+C100+C101</f>
        <v>317388.27162069967</v>
      </c>
      <c r="D102" s="1"/>
      <c r="E102" s="18">
        <f>E99+E101+E100</f>
        <v>325794.84815122007</v>
      </c>
    </row>
    <row r="105" spans="1:5" ht="12.75">
      <c r="A105" s="1" t="s">
        <v>166</v>
      </c>
      <c r="B105" s="1"/>
      <c r="C105" s="18">
        <v>9355</v>
      </c>
      <c r="D105" s="18"/>
      <c r="E105" s="18">
        <v>9469</v>
      </c>
    </row>
    <row r="106" spans="1:9" ht="12.75">
      <c r="A106" s="1" t="s">
        <v>170</v>
      </c>
      <c r="B106" s="1"/>
      <c r="C106" s="18">
        <v>28621</v>
      </c>
      <c r="D106" s="18"/>
      <c r="E106" s="18">
        <v>32865</v>
      </c>
      <c r="I106" t="s">
        <v>245</v>
      </c>
    </row>
    <row r="107" spans="1:5" ht="12.75">
      <c r="A107" s="1" t="s">
        <v>173</v>
      </c>
      <c r="B107" s="1"/>
      <c r="C107" s="18">
        <v>9620</v>
      </c>
      <c r="D107" s="18"/>
      <c r="E107" s="18">
        <v>10242</v>
      </c>
    </row>
    <row r="108" spans="1:5" ht="12.75">
      <c r="A108" s="1" t="s">
        <v>174</v>
      </c>
      <c r="B108" s="1"/>
      <c r="C108" s="18">
        <v>730042</v>
      </c>
      <c r="D108" s="18"/>
      <c r="E108" s="18">
        <v>728359</v>
      </c>
    </row>
    <row r="109" spans="3:5" ht="12.75">
      <c r="C109" s="3">
        <f>SUM(C105:C108)</f>
        <v>777638</v>
      </c>
      <c r="E109" s="3">
        <f>SUM(E105:E108)</f>
        <v>780935</v>
      </c>
    </row>
    <row r="111" spans="3:5" ht="12.75">
      <c r="C111" s="3">
        <f>C102+C94+C109</f>
        <v>4060720.811795772</v>
      </c>
      <c r="E111" s="3">
        <f>E102+E94+E109</f>
        <v>4334141.151544632</v>
      </c>
    </row>
    <row r="114" spans="1:6" ht="12.75">
      <c r="A114" s="17" t="s">
        <v>190</v>
      </c>
      <c r="B114" s="1"/>
      <c r="C114" s="18"/>
      <c r="D114" s="1"/>
      <c r="E114" s="1"/>
      <c r="F114" s="1"/>
    </row>
    <row r="115" spans="1:6" s="40" customFormat="1" ht="12.75">
      <c r="A115" s="1"/>
      <c r="B115" s="1"/>
      <c r="C115" s="18"/>
      <c r="D115" s="1"/>
      <c r="E115" s="1"/>
      <c r="F115" s="1"/>
    </row>
    <row r="116" spans="1:6" ht="12.75">
      <c r="A116" s="17" t="s">
        <v>117</v>
      </c>
      <c r="B116" s="1"/>
      <c r="C116" s="18"/>
      <c r="D116" s="1"/>
      <c r="E116" s="1"/>
      <c r="F116" s="1"/>
    </row>
    <row r="117" spans="1:6" ht="12.75">
      <c r="A117" s="1" t="s">
        <v>19</v>
      </c>
      <c r="B117" s="1"/>
      <c r="C117" s="18">
        <v>596029</v>
      </c>
      <c r="D117" s="1"/>
      <c r="E117" s="18">
        <v>690480</v>
      </c>
      <c r="F117" s="1"/>
    </row>
    <row r="118" spans="1:6" ht="12.75">
      <c r="A118" s="1" t="s">
        <v>29</v>
      </c>
      <c r="B118" s="1"/>
      <c r="C118" s="18">
        <v>19690</v>
      </c>
      <c r="D118" s="1"/>
      <c r="E118" s="18">
        <v>20772</v>
      </c>
      <c r="F118" s="1"/>
    </row>
    <row r="119" spans="1:6" ht="12.75">
      <c r="A119" s="1" t="s">
        <v>152</v>
      </c>
      <c r="B119" s="1"/>
      <c r="C119" s="18">
        <v>13891</v>
      </c>
      <c r="D119" s="18"/>
      <c r="E119" s="18">
        <v>14310</v>
      </c>
      <c r="F119" s="1"/>
    </row>
    <row r="120" spans="1:5" ht="12.75">
      <c r="A120" s="1" t="s">
        <v>31</v>
      </c>
      <c r="B120" s="1"/>
      <c r="C120" s="20">
        <v>6009</v>
      </c>
      <c r="D120" s="1"/>
      <c r="E120" s="20">
        <v>6411</v>
      </c>
    </row>
    <row r="121" spans="1:6" ht="12.75">
      <c r="A121" s="1" t="s">
        <v>191</v>
      </c>
      <c r="B121" s="1"/>
      <c r="C121" s="20">
        <f>M39</f>
        <v>5625.887615385031</v>
      </c>
      <c r="D121" s="1"/>
      <c r="E121" s="20">
        <f>P39</f>
        <v>5469.836373680506</v>
      </c>
      <c r="F121" s="1"/>
    </row>
    <row r="122" spans="1:6" ht="12.75">
      <c r="A122" s="1" t="s">
        <v>272</v>
      </c>
      <c r="B122" s="1"/>
      <c r="C122" s="12">
        <f>L58</f>
        <v>9870.297459780466</v>
      </c>
      <c r="D122" s="1"/>
      <c r="E122" s="12">
        <f>M60</f>
        <v>10557.642049192224</v>
      </c>
      <c r="F122" s="1"/>
    </row>
    <row r="123" spans="1:6" ht="12.75">
      <c r="A123" s="1"/>
      <c r="B123" s="1"/>
      <c r="C123" s="19">
        <f>SUM(C117:C122)</f>
        <v>651115.1850751655</v>
      </c>
      <c r="D123" s="1"/>
      <c r="E123" s="19">
        <f>SUM(E117:E122)</f>
        <v>748000.4784228727</v>
      </c>
      <c r="F123" s="1"/>
    </row>
    <row r="124" spans="1:6" ht="12.75">
      <c r="A124" s="1"/>
      <c r="B124" s="1"/>
      <c r="C124" s="18"/>
      <c r="D124" s="1"/>
      <c r="E124" s="1"/>
      <c r="F124" s="1"/>
    </row>
    <row r="125" spans="1:6" ht="12.75">
      <c r="A125" s="17" t="s">
        <v>192</v>
      </c>
      <c r="B125" s="1"/>
      <c r="C125" s="18"/>
      <c r="D125" s="1"/>
      <c r="E125" s="1"/>
      <c r="F125" s="1"/>
    </row>
    <row r="126" spans="1:6" ht="12.75">
      <c r="A126" s="1" t="s">
        <v>193</v>
      </c>
      <c r="B126" s="1"/>
      <c r="C126" s="18">
        <f>C131*C123</f>
        <v>81093.30936401943</v>
      </c>
      <c r="D126" s="1"/>
      <c r="E126" s="18">
        <f>E123*D131</f>
        <v>80792.69406719795</v>
      </c>
      <c r="F126" s="1"/>
    </row>
    <row r="127" spans="1:6" ht="12.75">
      <c r="A127" s="1" t="s">
        <v>126</v>
      </c>
      <c r="B127" s="1"/>
      <c r="C127" s="12">
        <f>C123*C132</f>
        <v>570021.875711146</v>
      </c>
      <c r="D127" s="1"/>
      <c r="E127" s="12">
        <f>E123*D132</f>
        <v>667207.7843556748</v>
      </c>
      <c r="F127" s="1"/>
    </row>
    <row r="128" spans="1:6" ht="12.75">
      <c r="A128" s="1"/>
      <c r="B128" s="1"/>
      <c r="C128" s="19">
        <f>SUM(C126:C127)</f>
        <v>651115.1850751655</v>
      </c>
      <c r="D128" s="1"/>
      <c r="E128" s="19">
        <f>SUM(E126:E127)</f>
        <v>748000.4784228727</v>
      </c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25" t="s">
        <v>227</v>
      </c>
      <c r="C130" s="1"/>
      <c r="D130" s="1"/>
      <c r="E130" s="1"/>
      <c r="F130" s="1"/>
    </row>
    <row r="131" spans="1:6" ht="12.75">
      <c r="A131" s="1"/>
      <c r="B131" t="s">
        <v>122</v>
      </c>
      <c r="C131" s="30">
        <v>0.124545259</v>
      </c>
      <c r="D131" s="30">
        <v>0.108011554</v>
      </c>
      <c r="E131" s="1"/>
      <c r="F131" s="1"/>
    </row>
    <row r="132" spans="1:6" ht="12.75">
      <c r="A132" s="1"/>
      <c r="B132" t="s">
        <v>126</v>
      </c>
      <c r="C132" s="30">
        <v>0.875454741</v>
      </c>
      <c r="D132" s="30">
        <v>0.891988446</v>
      </c>
      <c r="E132" s="1"/>
      <c r="F132" s="1"/>
    </row>
    <row r="139" spans="1:5" ht="12.75">
      <c r="A139" s="39" t="s">
        <v>237</v>
      </c>
      <c r="B139" s="39"/>
      <c r="C139" s="39"/>
      <c r="D139" s="39"/>
      <c r="E139" s="39"/>
    </row>
    <row r="140" spans="1:6" ht="12.75">
      <c r="A140" s="25" t="s">
        <v>260</v>
      </c>
      <c r="B140" s="1"/>
      <c r="C140" s="18">
        <f>L50+M43</f>
        <v>229436.1655881299</v>
      </c>
      <c r="E140" s="18">
        <f>M50+P43</f>
        <v>241334.23681551282</v>
      </c>
      <c r="F140" s="40"/>
    </row>
    <row r="141" spans="1:5" ht="12.75">
      <c r="A141" s="1"/>
      <c r="B141" s="1"/>
      <c r="C141" s="1"/>
      <c r="E141" s="1"/>
    </row>
    <row r="142" spans="1:5" ht="12.75">
      <c r="A142" s="1" t="s">
        <v>101</v>
      </c>
      <c r="B142" s="1"/>
      <c r="C142" s="18">
        <v>1541628</v>
      </c>
      <c r="E142" s="18">
        <v>1592267</v>
      </c>
    </row>
    <row r="143" spans="1:5" ht="12.75">
      <c r="A143" s="1"/>
      <c r="B143" s="1"/>
      <c r="C143" s="18"/>
      <c r="E143" s="18"/>
    </row>
    <row r="144" spans="1:5" ht="12.75">
      <c r="A144" s="1" t="s">
        <v>159</v>
      </c>
      <c r="B144" s="1"/>
      <c r="C144" s="20">
        <v>579883</v>
      </c>
      <c r="E144" s="20">
        <v>601621</v>
      </c>
    </row>
    <row r="145" spans="2:3" ht="12.75">
      <c r="B145" s="1"/>
      <c r="C145" s="1"/>
    </row>
    <row r="146" spans="1:5" ht="12.75">
      <c r="A146" s="1" t="s">
        <v>76</v>
      </c>
      <c r="B146" s="1"/>
      <c r="C146" s="18">
        <v>4791</v>
      </c>
      <c r="D146" s="18"/>
      <c r="E146" s="18">
        <v>4817</v>
      </c>
    </row>
    <row r="148" spans="1:5" ht="12.75">
      <c r="A148" s="1" t="s">
        <v>168</v>
      </c>
      <c r="B148" s="1"/>
      <c r="C148" s="18">
        <v>92751</v>
      </c>
      <c r="D148" s="18"/>
      <c r="E148" s="18">
        <v>107849</v>
      </c>
    </row>
    <row r="149" ht="12.75">
      <c r="C149" s="3"/>
    </row>
    <row r="150" spans="1:5" ht="12.75">
      <c r="A150" s="1" t="s">
        <v>176</v>
      </c>
      <c r="B150" s="1"/>
      <c r="C150" s="18">
        <v>62390</v>
      </c>
      <c r="D150" s="18"/>
      <c r="E150" s="18">
        <v>53421</v>
      </c>
    </row>
    <row r="152" spans="1:5" ht="12.75">
      <c r="A152" s="25" t="s">
        <v>259</v>
      </c>
      <c r="B152" s="1"/>
      <c r="C152" s="18">
        <v>39744</v>
      </c>
      <c r="D152" s="18"/>
      <c r="E152" s="18">
        <v>46543</v>
      </c>
    </row>
    <row r="154" spans="1:5" ht="12.75">
      <c r="A154" s="25" t="s">
        <v>261</v>
      </c>
      <c r="B154" s="1"/>
      <c r="C154" s="18">
        <v>19733</v>
      </c>
      <c r="D154" s="18"/>
      <c r="E154" s="18">
        <v>18946</v>
      </c>
    </row>
    <row r="156" spans="3:5" ht="12.75">
      <c r="C156" s="3">
        <f>SUM(C140:C154)</f>
        <v>2570356.16558813</v>
      </c>
      <c r="E156" s="3">
        <f>SUM(E140:E154)</f>
        <v>2666798.236815513</v>
      </c>
    </row>
    <row r="159" ht="12.75">
      <c r="C159" s="3">
        <f>C140+C142+C144+C146+C111+C25+C37</f>
        <v>9028952.977383902</v>
      </c>
    </row>
  </sheetData>
  <sheetProtection/>
  <printOptions/>
  <pageMargins left="0.7" right="0.51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Samelson,Don</dc:creator>
  <cp:keywords/>
  <dc:description/>
  <cp:lastModifiedBy>c398922</cp:lastModifiedBy>
  <cp:lastPrinted>2008-11-15T16:53:46Z</cp:lastPrinted>
  <dcterms:created xsi:type="dcterms:W3CDTF">2008-10-15T16:26:11Z</dcterms:created>
  <dcterms:modified xsi:type="dcterms:W3CDTF">2008-11-19T13:56:25Z</dcterms:modified>
  <cp:category/>
  <cp:version/>
  <cp:contentType/>
  <cp:contentStatus/>
</cp:coreProperties>
</file>