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hark Michael\Dropbox\10 Courses\EASTER\MBA28 Private Equity\BM\"/>
    </mc:Choice>
  </mc:AlternateContent>
  <bookViews>
    <workbookView xWindow="-15" yWindow="285" windowWidth="6270" windowHeight="3480" activeTab="2"/>
  </bookViews>
  <sheets>
    <sheet name="Assumptions - ABC Industries" sheetId="1" r:id="rId1"/>
    <sheet name="Financials  - ABC Industries" sheetId="2" r:id="rId2"/>
    <sheet name="Supp Schedule - ABC Industries" sheetId="19" r:id="rId3"/>
  </sheets>
  <externalReferences>
    <externalReference r:id="rId4"/>
  </externalReferences>
  <definedNames>
    <definedName name="BaseYear">[1]Controls!$C$23</definedName>
    <definedName name="DateHeader">[1]Controls!$E$27</definedName>
    <definedName name="DollarHeader">[1]Controls!$E$20</definedName>
    <definedName name="FX">#REF!</definedName>
    <definedName name="LBOMinCash" localSheetId="1">'Financials  - ABC Industries'!$Q$13</definedName>
    <definedName name="LBOMinCash" localSheetId="2">'Supp Schedule - ABC Industries'!#REF!</definedName>
    <definedName name="_xlnm.Print_Area" localSheetId="0">'Assumptions - ABC Industries'!#REF!</definedName>
    <definedName name="_xlnm.Print_Area" localSheetId="1">'Financials  - ABC Industries'!$B$1:$I$75</definedName>
    <definedName name="_xlnm.Print_Area" localSheetId="2">'Supp Schedule - ABC Industries'!$B$1:$I$94</definedName>
    <definedName name="_xlnm.Print_Titles" localSheetId="1">'Financials  - ABC Industries'!$1:$1</definedName>
    <definedName name="_xlnm.Print_Titles" localSheetId="2">'Supp Schedule - ABC Industries'!$1:$1</definedName>
    <definedName name="SLTax" localSheetId="2">'Supp Schedule - ABC Industries'!$H$27</definedName>
  </definedNames>
  <calcPr calcId="152511" iterate="1" iterateCount="1000"/>
</workbook>
</file>

<file path=xl/calcChain.xml><?xml version="1.0" encoding="utf-8"?>
<calcChain xmlns="http://schemas.openxmlformats.org/spreadsheetml/2006/main">
  <c r="C45" i="19" l="1"/>
  <c r="C55" i="19" s="1"/>
  <c r="E4" i="2"/>
  <c r="F4" i="2" s="1"/>
  <c r="I11" i="1"/>
  <c r="E11" i="1"/>
  <c r="H11" i="1"/>
  <c r="G11" i="1"/>
  <c r="F11" i="1"/>
  <c r="E5" i="2"/>
  <c r="F5" i="2" s="1"/>
  <c r="E9" i="2"/>
  <c r="D43" i="2"/>
  <c r="D46" i="2" s="1"/>
  <c r="D33" i="2"/>
  <c r="D38" i="2" s="1"/>
  <c r="E37" i="2"/>
  <c r="F37" i="2" s="1"/>
  <c r="G37" i="2" s="1"/>
  <c r="E45" i="2"/>
  <c r="F45" i="2" s="1"/>
  <c r="G45" i="2" s="1"/>
  <c r="H45" i="2" s="1"/>
  <c r="I45" i="2" s="1"/>
  <c r="E62" i="2"/>
  <c r="E35" i="2"/>
  <c r="F35" i="2" s="1"/>
  <c r="G35" i="2" s="1"/>
  <c r="H35" i="2" s="1"/>
  <c r="I35" i="2" s="1"/>
  <c r="D12" i="2"/>
  <c r="D15" i="2" s="1"/>
  <c r="I62" i="2"/>
  <c r="H62" i="2"/>
  <c r="G62" i="2"/>
  <c r="F62" i="2"/>
  <c r="D55" i="2"/>
  <c r="D28" i="2"/>
  <c r="E73" i="2"/>
  <c r="D56" i="2"/>
  <c r="D8" i="2"/>
  <c r="E25" i="19"/>
  <c r="E28" i="19" s="1"/>
  <c r="E46" i="19"/>
  <c r="F46" i="19"/>
  <c r="F47" i="19"/>
  <c r="G46" i="19"/>
  <c r="G47" i="19"/>
  <c r="G48" i="19"/>
  <c r="H46" i="19"/>
  <c r="H47" i="19"/>
  <c r="H48" i="19"/>
  <c r="H49" i="19"/>
  <c r="I46" i="19"/>
  <c r="I47" i="19"/>
  <c r="I48" i="19"/>
  <c r="I49" i="19"/>
  <c r="I50" i="19"/>
  <c r="E6" i="19"/>
  <c r="E12" i="19" s="1"/>
  <c r="E18" i="19"/>
  <c r="E20" i="19" s="1"/>
  <c r="E82" i="19"/>
  <c r="E56" i="19"/>
  <c r="I56" i="19"/>
  <c r="I57" i="19"/>
  <c r="I58" i="19"/>
  <c r="I59" i="19"/>
  <c r="I60" i="19"/>
  <c r="H56" i="19"/>
  <c r="H57" i="19"/>
  <c r="H58" i="19"/>
  <c r="H59" i="19"/>
  <c r="G56" i="19"/>
  <c r="G57" i="19"/>
  <c r="G58" i="19"/>
  <c r="F56" i="19"/>
  <c r="F57" i="19"/>
  <c r="I9" i="19"/>
  <c r="H9" i="19"/>
  <c r="G9" i="19"/>
  <c r="F9" i="19"/>
  <c r="E9" i="19"/>
  <c r="B38" i="19"/>
  <c r="B37" i="19"/>
  <c r="I76" i="19"/>
  <c r="I86" i="19" s="1"/>
  <c r="H76" i="19"/>
  <c r="G76" i="19"/>
  <c r="G86" i="19" s="1"/>
  <c r="F76" i="19"/>
  <c r="E76" i="19"/>
  <c r="E86" i="19" s="1"/>
  <c r="H86" i="19"/>
  <c r="F86" i="19"/>
  <c r="E91" i="19"/>
  <c r="B14" i="19"/>
  <c r="B21" i="19"/>
  <c r="B29" i="19"/>
  <c r="E28" i="2"/>
  <c r="E66" i="19"/>
  <c r="E42" i="19"/>
  <c r="C46" i="19" s="1"/>
  <c r="C56" i="19" s="1"/>
  <c r="F73" i="2"/>
  <c r="G73" i="2"/>
  <c r="H73" i="2"/>
  <c r="I73" i="2"/>
  <c r="E68" i="2"/>
  <c r="E69" i="2" s="1"/>
  <c r="F68" i="2"/>
  <c r="F69" i="2" s="1"/>
  <c r="G68" i="2"/>
  <c r="G69" i="2" s="1"/>
  <c r="H68" i="2"/>
  <c r="H69" i="2" s="1"/>
  <c r="I68" i="2"/>
  <c r="I69" i="2" s="1"/>
  <c r="E5" i="1" l="1"/>
  <c r="F5" i="1" s="1"/>
  <c r="G5" i="1" s="1"/>
  <c r="H5" i="1" s="1"/>
  <c r="I5" i="1" s="1"/>
  <c r="E55" i="2"/>
  <c r="E4" i="19"/>
  <c r="E38" i="19" s="1"/>
  <c r="E69" i="19" s="1"/>
  <c r="E6" i="2"/>
  <c r="F28" i="2"/>
  <c r="F55" i="2"/>
  <c r="F4" i="19"/>
  <c r="F42" i="19"/>
  <c r="C47" i="19" s="1"/>
  <c r="C57" i="19" s="1"/>
  <c r="G4" i="2"/>
  <c r="G42" i="19" s="1"/>
  <c r="F66" i="19"/>
  <c r="E31" i="2"/>
  <c r="D13" i="2"/>
  <c r="E61" i="2"/>
  <c r="G4" i="19"/>
  <c r="E29" i="19"/>
  <c r="F25" i="19"/>
  <c r="F28" i="19" s="1"/>
  <c r="D16" i="2"/>
  <c r="D20" i="2"/>
  <c r="D50" i="2"/>
  <c r="D48" i="2"/>
  <c r="E55" i="19"/>
  <c r="E61" i="19" s="1"/>
  <c r="E71" i="19" s="1"/>
  <c r="F45" i="19"/>
  <c r="F51" i="19" s="1"/>
  <c r="F14" i="2" s="1"/>
  <c r="E45" i="19"/>
  <c r="E51" i="19" s="1"/>
  <c r="E14" i="2" s="1"/>
  <c r="G25" i="19"/>
  <c r="H37" i="2"/>
  <c r="H61" i="2" s="1"/>
  <c r="G61" i="2"/>
  <c r="F10" i="2"/>
  <c r="F31" i="2"/>
  <c r="F9" i="2"/>
  <c r="F7" i="2"/>
  <c r="F11" i="2"/>
  <c r="G5" i="2"/>
  <c r="F6" i="2"/>
  <c r="F18" i="19"/>
  <c r="E42" i="2"/>
  <c r="E21" i="19"/>
  <c r="E10" i="19"/>
  <c r="E22" i="19" s="1"/>
  <c r="F61" i="2"/>
  <c r="F29" i="19"/>
  <c r="E10" i="2"/>
  <c r="E11" i="2"/>
  <c r="E7" i="2"/>
  <c r="E37" i="19" l="1"/>
  <c r="G55" i="19"/>
  <c r="G61" i="19" s="1"/>
  <c r="E33" i="19"/>
  <c r="E36" i="19" s="1"/>
  <c r="F70" i="19"/>
  <c r="F55" i="19"/>
  <c r="F61" i="19" s="1"/>
  <c r="E70" i="19"/>
  <c r="E83" i="19"/>
  <c r="F12" i="2"/>
  <c r="H4" i="2"/>
  <c r="G28" i="2"/>
  <c r="G55" i="2"/>
  <c r="G66" i="19"/>
  <c r="C48" i="19"/>
  <c r="C58" i="19" s="1"/>
  <c r="G45" i="19"/>
  <c r="G51" i="19" s="1"/>
  <c r="G83" i="19" s="1"/>
  <c r="D23" i="2"/>
  <c r="D21" i="2"/>
  <c r="E34" i="2"/>
  <c r="F34" i="2" s="1"/>
  <c r="F56" i="2"/>
  <c r="F13" i="2"/>
  <c r="F15" i="2"/>
  <c r="E8" i="2"/>
  <c r="E41" i="2"/>
  <c r="E43" i="2" s="1"/>
  <c r="E32" i="2"/>
  <c r="E12" i="2"/>
  <c r="F71" i="19"/>
  <c r="F83" i="19"/>
  <c r="E19" i="2"/>
  <c r="E58" i="2"/>
  <c r="F20" i="19"/>
  <c r="F21" i="19"/>
  <c r="G71" i="19"/>
  <c r="G6" i="2"/>
  <c r="G31" i="2"/>
  <c r="H5" i="2"/>
  <c r="G11" i="2"/>
  <c r="G7" i="2"/>
  <c r="G10" i="2"/>
  <c r="G9" i="2"/>
  <c r="F32" i="2"/>
  <c r="F41" i="2"/>
  <c r="F8" i="2"/>
  <c r="I37" i="2"/>
  <c r="I61" i="2" s="1"/>
  <c r="G28" i="19"/>
  <c r="F32" i="19" l="1"/>
  <c r="F38" i="19" s="1"/>
  <c r="E44" i="2"/>
  <c r="E46" i="2" s="1"/>
  <c r="I4" i="2"/>
  <c r="H55" i="2"/>
  <c r="H42" i="19"/>
  <c r="H4" i="19"/>
  <c r="H38" i="19" s="1"/>
  <c r="H28" i="2"/>
  <c r="H66" i="19"/>
  <c r="G34" i="2"/>
  <c r="G70" i="19"/>
  <c r="G14" i="2"/>
  <c r="F60" i="2"/>
  <c r="G8" i="2"/>
  <c r="G32" i="2"/>
  <c r="G33" i="2" s="1"/>
  <c r="G41" i="2"/>
  <c r="E13" i="2"/>
  <c r="E56" i="2"/>
  <c r="E15" i="2"/>
  <c r="F16" i="2"/>
  <c r="G12" i="2"/>
  <c r="F33" i="2"/>
  <c r="H25" i="19"/>
  <c r="I5" i="2"/>
  <c r="H31" i="2"/>
  <c r="H7" i="2"/>
  <c r="H11" i="2"/>
  <c r="H10" i="2"/>
  <c r="H9" i="2"/>
  <c r="H6" i="2"/>
  <c r="G18" i="19"/>
  <c r="F42" i="2"/>
  <c r="F43" i="2" s="1"/>
  <c r="E33" i="2"/>
  <c r="E60" i="2"/>
  <c r="G29" i="19"/>
  <c r="F69" i="19" l="1"/>
  <c r="F33" i="19"/>
  <c r="F36" i="19" s="1"/>
  <c r="F37" i="19"/>
  <c r="H69" i="19"/>
  <c r="H33" i="19"/>
  <c r="G60" i="2"/>
  <c r="C49" i="19"/>
  <c r="C59" i="19" s="1"/>
  <c r="H45" i="19"/>
  <c r="H51" i="19" s="1"/>
  <c r="H34" i="2" s="1"/>
  <c r="H55" i="19"/>
  <c r="H61" i="19" s="1"/>
  <c r="I42" i="19"/>
  <c r="C50" i="19" s="1"/>
  <c r="C60" i="19" s="1"/>
  <c r="I66" i="19"/>
  <c r="I28" i="2"/>
  <c r="I55" i="2"/>
  <c r="I4" i="19"/>
  <c r="I38" i="19" s="1"/>
  <c r="H12" i="2"/>
  <c r="H13" i="2" s="1"/>
  <c r="G20" i="19"/>
  <c r="G21" i="19" s="1"/>
  <c r="H8" i="2"/>
  <c r="H32" i="2"/>
  <c r="H33" i="2" s="1"/>
  <c r="H41" i="2"/>
  <c r="I10" i="2"/>
  <c r="I6" i="2"/>
  <c r="I31" i="2"/>
  <c r="I11" i="2"/>
  <c r="I7" i="2"/>
  <c r="I9" i="2"/>
  <c r="H28" i="19"/>
  <c r="H29" i="19"/>
  <c r="G56" i="2"/>
  <c r="G15" i="2"/>
  <c r="G13" i="2"/>
  <c r="E16" i="2"/>
  <c r="E20" i="2"/>
  <c r="F19" i="2" l="1"/>
  <c r="F20" i="2" s="1"/>
  <c r="F68" i="19" s="1"/>
  <c r="F74" i="19" s="1"/>
  <c r="F58" i="2"/>
  <c r="F44" i="2"/>
  <c r="F46" i="2" s="1"/>
  <c r="G32" i="19"/>
  <c r="G38" i="19" s="1"/>
  <c r="G33" i="19" s="1"/>
  <c r="G36" i="19" s="1"/>
  <c r="H56" i="2"/>
  <c r="I55" i="19"/>
  <c r="I61" i="19" s="1"/>
  <c r="I45" i="19"/>
  <c r="I51" i="19" s="1"/>
  <c r="I34" i="2" s="1"/>
  <c r="I33" i="19"/>
  <c r="I69" i="19"/>
  <c r="H71" i="19"/>
  <c r="H83" i="19"/>
  <c r="H70" i="19"/>
  <c r="H14" i="2"/>
  <c r="H15" i="2" s="1"/>
  <c r="H16" i="2" s="1"/>
  <c r="H60" i="2"/>
  <c r="E68" i="19"/>
  <c r="E74" i="19" s="1"/>
  <c r="I25" i="19"/>
  <c r="I41" i="2"/>
  <c r="I32" i="2"/>
  <c r="I33" i="2" s="1"/>
  <c r="I8" i="2"/>
  <c r="H18" i="19"/>
  <c r="G42" i="2"/>
  <c r="G43" i="2" s="1"/>
  <c r="I12" i="2"/>
  <c r="F92" i="19"/>
  <c r="F93" i="19"/>
  <c r="F75" i="19" s="1"/>
  <c r="F77" i="19" s="1"/>
  <c r="G16" i="2"/>
  <c r="G69" i="19"/>
  <c r="G37" i="19" l="1"/>
  <c r="G58" i="2" s="1"/>
  <c r="G19" i="2"/>
  <c r="G20" i="2" s="1"/>
  <c r="G68" i="19" s="1"/>
  <c r="G74" i="19" s="1"/>
  <c r="I14" i="2"/>
  <c r="I15" i="2" s="1"/>
  <c r="I70" i="19"/>
  <c r="I71" i="19"/>
  <c r="I83" i="19"/>
  <c r="I60" i="2"/>
  <c r="I56" i="2"/>
  <c r="I13" i="2"/>
  <c r="H20" i="19"/>
  <c r="H21" i="19" s="1"/>
  <c r="I28" i="19"/>
  <c r="I29" i="19" s="1"/>
  <c r="E93" i="19"/>
  <c r="E75" i="19" s="1"/>
  <c r="E77" i="19" s="1"/>
  <c r="E92" i="19"/>
  <c r="F85" i="19"/>
  <c r="F87" i="19" s="1"/>
  <c r="F78" i="19" s="1"/>
  <c r="H32" i="19"/>
  <c r="G44" i="2"/>
  <c r="G46" i="2" s="1"/>
  <c r="F59" i="2"/>
  <c r="F64" i="2" s="1"/>
  <c r="F71" i="2" s="1"/>
  <c r="F74" i="2" s="1"/>
  <c r="F13" i="19" s="1"/>
  <c r="G6" i="19" s="1"/>
  <c r="G10" i="19" l="1"/>
  <c r="G22" i="19" s="1"/>
  <c r="G12" i="19"/>
  <c r="H36" i="19"/>
  <c r="H37" i="19"/>
  <c r="H58" i="2" s="1"/>
  <c r="E94" i="19"/>
  <c r="F91" i="19" s="1"/>
  <c r="F94" i="19" s="1"/>
  <c r="G91" i="19" s="1"/>
  <c r="G93" i="19" s="1"/>
  <c r="G75" i="19" s="1"/>
  <c r="G77" i="19" s="1"/>
  <c r="E85" i="19"/>
  <c r="E87" i="19" s="1"/>
  <c r="E88" i="19" s="1"/>
  <c r="I18" i="19"/>
  <c r="H42" i="2"/>
  <c r="H43" i="2" s="1"/>
  <c r="G92" i="19"/>
  <c r="F79" i="19"/>
  <c r="F21" i="2"/>
  <c r="F23" i="2" s="1"/>
  <c r="E59" i="2"/>
  <c r="E64" i="2" s="1"/>
  <c r="E71" i="2" s="1"/>
  <c r="E74" i="2" s="1"/>
  <c r="E13" i="19" s="1"/>
  <c r="H19" i="2"/>
  <c r="H20" i="2" s="1"/>
  <c r="I16" i="2"/>
  <c r="E78" i="19" l="1"/>
  <c r="G59" i="2"/>
  <c r="G64" i="2" s="1"/>
  <c r="G71" i="2" s="1"/>
  <c r="G74" i="2" s="1"/>
  <c r="G13" i="19" s="1"/>
  <c r="H6" i="19" s="1"/>
  <c r="F6" i="19"/>
  <c r="E14" i="19"/>
  <c r="H68" i="19"/>
  <c r="H74" i="19" s="1"/>
  <c r="E21" i="2"/>
  <c r="E23" i="2" s="1"/>
  <c r="E48" i="2" s="1"/>
  <c r="E79" i="19"/>
  <c r="I20" i="19"/>
  <c r="I42" i="2" s="1"/>
  <c r="I43" i="2" s="1"/>
  <c r="I32" i="19"/>
  <c r="H44" i="2"/>
  <c r="H46" i="2" s="1"/>
  <c r="G85" i="19"/>
  <c r="G87" i="19" s="1"/>
  <c r="G78" i="19" s="1"/>
  <c r="G94" i="19"/>
  <c r="H91" i="19" s="1"/>
  <c r="E36" i="2"/>
  <c r="E38" i="2" s="1"/>
  <c r="F82" i="19"/>
  <c r="F88" i="19" s="1"/>
  <c r="G14" i="19" l="1"/>
  <c r="G21" i="2"/>
  <c r="G23" i="2" s="1"/>
  <c r="G79" i="19"/>
  <c r="I36" i="19"/>
  <c r="I44" i="2" s="1"/>
  <c r="I46" i="2" s="1"/>
  <c r="I37" i="19"/>
  <c r="F48" i="2"/>
  <c r="E50" i="2"/>
  <c r="H93" i="19"/>
  <c r="H75" i="19" s="1"/>
  <c r="H77" i="19" s="1"/>
  <c r="H92" i="19"/>
  <c r="F12" i="19"/>
  <c r="F14" i="19" s="1"/>
  <c r="F10" i="19"/>
  <c r="F22" i="19" s="1"/>
  <c r="I21" i="19"/>
  <c r="F36" i="2"/>
  <c r="F38" i="2" s="1"/>
  <c r="G82" i="19"/>
  <c r="G88" i="19" s="1"/>
  <c r="H12" i="19"/>
  <c r="H10" i="19"/>
  <c r="H22" i="19" s="1"/>
  <c r="H94" i="19" l="1"/>
  <c r="I91" i="19" s="1"/>
  <c r="H85" i="19"/>
  <c r="H87" i="19" s="1"/>
  <c r="H78" i="19" s="1"/>
  <c r="H59" i="2"/>
  <c r="H64" i="2" s="1"/>
  <c r="H71" i="2" s="1"/>
  <c r="H74" i="2" s="1"/>
  <c r="H13" i="19" s="1"/>
  <c r="I6" i="19" s="1"/>
  <c r="G36" i="2"/>
  <c r="G38" i="2" s="1"/>
  <c r="H82" i="19"/>
  <c r="I19" i="2"/>
  <c r="I20" i="2" s="1"/>
  <c r="I58" i="2"/>
  <c r="G48" i="2"/>
  <c r="F50" i="2"/>
  <c r="H14" i="19" l="1"/>
  <c r="H88" i="19"/>
  <c r="I68" i="19"/>
  <c r="I74" i="19" s="1"/>
  <c r="I10" i="19"/>
  <c r="I22" i="19" s="1"/>
  <c r="I12" i="19"/>
  <c r="G50" i="2"/>
  <c r="H36" i="2"/>
  <c r="H38" i="2" s="1"/>
  <c r="I82" i="19"/>
  <c r="H21" i="2"/>
  <c r="H23" i="2" s="1"/>
  <c r="H48" i="2" s="1"/>
  <c r="H79" i="19"/>
  <c r="H50" i="2" l="1"/>
  <c r="I92" i="19"/>
  <c r="I93" i="19"/>
  <c r="I75" i="19" s="1"/>
  <c r="I77" i="19" s="1"/>
  <c r="I59" i="2" l="1"/>
  <c r="I64" i="2" s="1"/>
  <c r="I71" i="2" s="1"/>
  <c r="I74" i="2" s="1"/>
  <c r="I13" i="19" s="1"/>
  <c r="I14" i="19" s="1"/>
  <c r="I85" i="19"/>
  <c r="I87" i="19" s="1"/>
  <c r="I88" i="19" s="1"/>
  <c r="I36" i="2" s="1"/>
  <c r="I38" i="2" s="1"/>
  <c r="I94" i="19"/>
  <c r="I78" i="19" l="1"/>
  <c r="I21" i="2" l="1"/>
  <c r="I23" i="2" s="1"/>
  <c r="I48" i="2" s="1"/>
  <c r="I50" i="2" s="1"/>
  <c r="I79" i="19"/>
</calcChain>
</file>

<file path=xl/comments1.xml><?xml version="1.0" encoding="utf-8"?>
<comments xmlns="http://schemas.openxmlformats.org/spreadsheetml/2006/main">
  <authors>
    <author>SEC</author>
  </authors>
  <commentList>
    <comment ref="I15" authorId="0" shapeId="0">
      <text>
        <r>
          <rPr>
            <b/>
            <sz val="8"/>
            <color indexed="81"/>
            <rFont val="Tahoma"/>
          </rPr>
          <t>AG:</t>
        </r>
        <r>
          <rPr>
            <sz val="8"/>
            <color indexed="81"/>
            <rFont val="Tahoma"/>
          </rPr>
          <t xml:space="preserve">
Common assumption is flat ratios or otherwise implies operational improvement (worsenening of trading conditions)</t>
        </r>
      </text>
    </comment>
  </commentList>
</comments>
</file>

<file path=xl/comments2.xml><?xml version="1.0" encoding="utf-8"?>
<comments xmlns="http://schemas.openxmlformats.org/spreadsheetml/2006/main">
  <authors>
    <author>SEC</author>
  </authors>
  <commentList>
    <comment ref="C44" authorId="0" shapeId="0">
      <text>
        <r>
          <rPr>
            <b/>
            <sz val="8"/>
            <color indexed="81"/>
            <rFont val="Tahoma"/>
          </rPr>
          <t>AG:</t>
        </r>
        <r>
          <rPr>
            <sz val="8"/>
            <color indexed="81"/>
            <rFont val="Tahoma"/>
          </rPr>
          <t xml:space="preserve">
If years to depr are less than forecast period - check manually or build a formula</t>
        </r>
      </text>
    </comment>
    <comment ref="C54" authorId="0" shapeId="0">
      <text>
        <r>
          <rPr>
            <b/>
            <sz val="8"/>
            <color indexed="81"/>
            <rFont val="Tahoma"/>
          </rPr>
          <t>AG:</t>
        </r>
        <r>
          <rPr>
            <sz val="8"/>
            <color indexed="81"/>
            <rFont val="Tahoma"/>
          </rPr>
          <t xml:space="preserve">
If years to depr are less than forecast period - check manually or build a formula</t>
        </r>
      </text>
    </comment>
    <comment ref="B73" authorId="0" shapeId="0">
      <text>
        <r>
          <rPr>
            <b/>
            <sz val="8"/>
            <color indexed="81"/>
            <rFont val="Tahoma"/>
          </rPr>
          <t>AG:</t>
        </r>
        <r>
          <rPr>
            <sz val="8"/>
            <color indexed="81"/>
            <rFont val="Tahoma"/>
          </rPr>
          <t xml:space="preserve">
E.g. equity earnings in subs after tax, etc.</t>
        </r>
      </text>
    </comment>
  </commentList>
</comments>
</file>

<file path=xl/sharedStrings.xml><?xml version="1.0" encoding="utf-8"?>
<sst xmlns="http://schemas.openxmlformats.org/spreadsheetml/2006/main" count="171" uniqueCount="127">
  <si>
    <t>Days Sales in Receivables</t>
  </si>
  <si>
    <t>Projected Fiscal Year Ending December 31,</t>
  </si>
  <si>
    <t>Revenue Growth Rate, %</t>
  </si>
  <si>
    <t>COGS (Materials) / Revenues, %</t>
  </si>
  <si>
    <t>Marginal Tax Rate, %</t>
  </si>
  <si>
    <t>Revenues</t>
  </si>
  <si>
    <t>COGS</t>
  </si>
  <si>
    <t>EBITDA</t>
  </si>
  <si>
    <t>-- EBITDA margin, %</t>
  </si>
  <si>
    <t>-- gross margin, %</t>
  </si>
  <si>
    <t>-- growth rate, %</t>
  </si>
  <si>
    <t>Depreciation &amp; Amortization</t>
  </si>
  <si>
    <t>EBIT</t>
  </si>
  <si>
    <t>-- EBIT margin, %</t>
  </si>
  <si>
    <t>--</t>
  </si>
  <si>
    <t>---</t>
  </si>
  <si>
    <t>Interest Income</t>
  </si>
  <si>
    <t>Interest Expense</t>
  </si>
  <si>
    <t>Tax</t>
  </si>
  <si>
    <t>Net Income</t>
  </si>
  <si>
    <t>Income Statement Summary</t>
  </si>
  <si>
    <t>Net Exceptional Items &amp; Adjustments</t>
  </si>
  <si>
    <t>EBT</t>
  </si>
  <si>
    <t>Balance Sheet Statement Summary</t>
  </si>
  <si>
    <t>CAPEX</t>
  </si>
  <si>
    <t>Long-term Assets</t>
  </si>
  <si>
    <t xml:space="preserve"> Inventory</t>
  </si>
  <si>
    <t xml:space="preserve"> Cash</t>
  </si>
  <si>
    <t xml:space="preserve"> Short Term Debt</t>
  </si>
  <si>
    <t xml:space="preserve"> Long Term Debt</t>
  </si>
  <si>
    <t>Other Assets</t>
  </si>
  <si>
    <t>Other Libilities</t>
  </si>
  <si>
    <t>Increase in Other Assets</t>
  </si>
  <si>
    <t>Increase in Other Liabilities</t>
  </si>
  <si>
    <t>Days Costs in Inventory</t>
  </si>
  <si>
    <t>Cash Flow Statement Summary</t>
  </si>
  <si>
    <t>Cash Interest Expense</t>
  </si>
  <si>
    <t>Cash Interest Income</t>
  </si>
  <si>
    <t>Cash Tax</t>
  </si>
  <si>
    <t>Extraordinary Cash Items</t>
  </si>
  <si>
    <t>Financed by</t>
  </si>
  <si>
    <t xml:space="preserve">  Debt Issue / (Retirement)</t>
  </si>
  <si>
    <t xml:space="preserve">  Equity Issue / (Buy Back or Dividend)</t>
  </si>
  <si>
    <t>Total Financing</t>
  </si>
  <si>
    <t>Change in Cash for the Period</t>
  </si>
  <si>
    <t>Cash BoP</t>
  </si>
  <si>
    <t>Cash EoP</t>
  </si>
  <si>
    <t>Change in Cash before Financing</t>
  </si>
  <si>
    <t>Debt Schedule</t>
  </si>
  <si>
    <t>Beginning Cash Balance</t>
  </si>
  <si>
    <t>Required Minimum Cash Balance</t>
  </si>
  <si>
    <t>Cash From Operations</t>
  </si>
  <si>
    <t>Less: Net Mandatory Debt (Repayment)</t>
  </si>
  <si>
    <t>Funds Available to Repay Debt</t>
  </si>
  <si>
    <t>Revolver / New Debt Financing</t>
  </si>
  <si>
    <t>Annual Cost of Facility</t>
  </si>
  <si>
    <t>Beginning Balance</t>
  </si>
  <si>
    <t>Borrowings (Payments)</t>
  </si>
  <si>
    <t>Ending Balance</t>
  </si>
  <si>
    <t>Cash Available for Bank Debt</t>
  </si>
  <si>
    <t>Mandatory (Repayment)</t>
  </si>
  <si>
    <t>Discretionary (Repayment)</t>
  </si>
  <si>
    <t>Bank Debt</t>
  </si>
  <si>
    <t>Interest Income on Cash Balances</t>
  </si>
  <si>
    <t>(USD in millions, except otherwise stated)</t>
  </si>
  <si>
    <t>Other Costs / Revenues, %</t>
  </si>
  <si>
    <t>Marketing / Revenues, %</t>
  </si>
  <si>
    <t>Salaries</t>
  </si>
  <si>
    <t>Marketing</t>
  </si>
  <si>
    <t xml:space="preserve">Other Operating Costs </t>
  </si>
  <si>
    <t>Implied EBITDA margin, %</t>
  </si>
  <si>
    <t>Assumptions</t>
  </si>
  <si>
    <t>Days Costs in Trade Payables</t>
  </si>
  <si>
    <t>Salaries / Revenues, %</t>
  </si>
  <si>
    <t>Financial Schedules</t>
  </si>
  <si>
    <t>Depreciation Schedule</t>
  </si>
  <si>
    <t>Years</t>
  </si>
  <si>
    <t>Tax Depreciation</t>
  </si>
  <si>
    <t>Book Depreciation</t>
  </si>
  <si>
    <t>Total for Fiscal Year</t>
  </si>
  <si>
    <t>Supporting Schedules</t>
  </si>
  <si>
    <t>Non-Deductible Interest Expense</t>
  </si>
  <si>
    <t>Non-Deductible Goodwill</t>
  </si>
  <si>
    <t>Total Taxable Income</t>
  </si>
  <si>
    <t>NOL Used</t>
  </si>
  <si>
    <t>Income Tax Rate</t>
  </si>
  <si>
    <t>Deferred Tax Schedule</t>
  </si>
  <si>
    <t>Beginning Deferred Taxes</t>
  </si>
  <si>
    <t>Excess of Tax over Book Depreciation</t>
  </si>
  <si>
    <t>Excess of Tax over Book Amortization</t>
  </si>
  <si>
    <t>NOL (Created) Used</t>
  </si>
  <si>
    <t>Marginal Tax Rate</t>
  </si>
  <si>
    <t>Increase (Decrease) in Deferred Taxes</t>
  </si>
  <si>
    <t>Ending Deferred Taxes</t>
  </si>
  <si>
    <t>Beginning NOL</t>
  </si>
  <si>
    <t>NOL Created</t>
  </si>
  <si>
    <t>Ending NOL</t>
  </si>
  <si>
    <t>Tax Schedule</t>
  </si>
  <si>
    <t>Add back Book Depreciation</t>
  </si>
  <si>
    <t>Subtract Tax Depreciation (Capital Allowance)</t>
  </si>
  <si>
    <t>Other Tax Adjustments</t>
  </si>
  <si>
    <t>NOL Calculation</t>
  </si>
  <si>
    <t>Deferred Tax Assets (Liability)</t>
  </si>
  <si>
    <t>Income Taxes Cash</t>
  </si>
  <si>
    <t>Income Taxes Book</t>
  </si>
  <si>
    <t>Investments</t>
  </si>
  <si>
    <t>Accrued Interest</t>
  </si>
  <si>
    <t>PIK Term</t>
  </si>
  <si>
    <t>Discount Bond - 10 Year</t>
  </si>
  <si>
    <t>Check Effective Rate</t>
  </si>
  <si>
    <t>Taxable Income Calculation</t>
  </si>
  <si>
    <t>Factor</t>
  </si>
  <si>
    <t>Existing PP&amp;E - DB</t>
  </si>
  <si>
    <t>Incremental Investments - Straight Line</t>
  </si>
  <si>
    <t>A/R (Debtors)</t>
  </si>
  <si>
    <t>A/P (Creditors)</t>
  </si>
  <si>
    <t>Current Assets</t>
  </si>
  <si>
    <t>Current Liabilities</t>
  </si>
  <si>
    <t>Change in Other CA</t>
  </si>
  <si>
    <t>Change in WC</t>
  </si>
  <si>
    <t xml:space="preserve">    Current Assets</t>
  </si>
  <si>
    <t xml:space="preserve">    Total Assets</t>
  </si>
  <si>
    <t xml:space="preserve">    Current Liabilities</t>
  </si>
  <si>
    <t xml:space="preserve">    Equity &amp; Reserves</t>
  </si>
  <si>
    <t xml:space="preserve">    Total Liabilities</t>
  </si>
  <si>
    <t xml:space="preserve">    Total Liabilities &amp; Equity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</si>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</sst>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%_);\(#,##0.0%\);0.0%_);@_%_)"/>
    <numFmt numFmtId="165" formatCode="#,##0.0_)_%;\(#,##0.0\)_%;#,##0.0_)_%;@_)_%"/>
    <numFmt numFmtId="166" formatCode="#,##0.0_%_);\(#,##0.0\)_%;#,##0.0_%_);@_%_)"/>
    <numFmt numFmtId="167" formatCode="#,##0.00_%_);\(#,##0.00\)_%;#,##0.00_%_);@_%_)"/>
    <numFmt numFmtId="168" formatCode="0.0"/>
    <numFmt numFmtId="169" formatCode="0\ &quot;Years&quot;"/>
  </numFmts>
  <fonts count="43">
    <font>
      <sz val="10"/>
      <name val="Arial"/>
      <charset val="204"/>
    </font>
    <font>
      <sz val="10"/>
      <name val="Arial"/>
      <charset val="204"/>
    </font>
    <font>
      <sz val="7"/>
      <name val="Palatino"/>
      <family val="1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8"/>
      <color indexed="12"/>
      <name val="Arial"/>
      <family val="2"/>
      <charset val="204"/>
    </font>
    <font>
      <u/>
      <sz val="8"/>
      <color indexed="12"/>
      <name val="Arial"/>
      <family val="2"/>
      <charset val="204"/>
    </font>
    <font>
      <u/>
      <sz val="8"/>
      <name val="Arial"/>
      <family val="2"/>
      <charset val="204"/>
    </font>
    <font>
      <sz val="8"/>
      <color indexed="20"/>
      <name val="Times New Roman"/>
      <family val="1"/>
    </font>
    <font>
      <sz val="9"/>
      <name val="Helvetica-Black"/>
    </font>
    <font>
      <sz val="8"/>
      <color indexed="81"/>
      <name val="Tahoma"/>
    </font>
    <font>
      <b/>
      <sz val="10"/>
      <name val="Arial"/>
      <family val="2"/>
      <charset val="204"/>
    </font>
    <font>
      <b/>
      <sz val="8"/>
      <color indexed="81"/>
      <name val="Tahoma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u/>
      <sz val="8"/>
      <color indexed="12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b/>
      <sz val="8"/>
      <color indexed="23"/>
      <name val="Arial"/>
      <family val="2"/>
    </font>
    <font>
      <sz val="8"/>
      <color indexed="56"/>
      <name val="Arial"/>
      <family val="2"/>
    </font>
    <font>
      <sz val="8"/>
      <color indexed="20"/>
      <name val="Arial"/>
      <family val="2"/>
    </font>
    <font>
      <sz val="8"/>
      <color indexed="19"/>
      <name val="Arial"/>
      <family val="2"/>
    </font>
    <font>
      <b/>
      <sz val="8"/>
      <color indexed="20"/>
      <name val="Arial"/>
      <family val="2"/>
    </font>
    <font>
      <sz val="8"/>
      <color indexed="18"/>
      <name val="Arial"/>
      <family val="2"/>
    </font>
    <font>
      <i/>
      <sz val="8"/>
      <color indexed="9"/>
      <name val="Arial"/>
      <family val="2"/>
    </font>
    <font>
      <sz val="8"/>
      <color indexed="23"/>
      <name val="Arial"/>
      <family val="2"/>
    </font>
    <font>
      <b/>
      <sz val="9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b/>
      <u/>
      <sz val="8"/>
      <color indexed="12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  <charset val="204"/>
    </font>
    <font>
      <sz val="10"/>
      <name val="Arial"/>
      <charset val="204"/>
    </font>
    <font>
      <b/>
      <sz val="8"/>
      <color rgb="FF00206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0" fillId="0" borderId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1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</cellStyleXfs>
  <cellXfs count="17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/>
    </xf>
    <xf numFmtId="166" fontId="3" fillId="0" borderId="0" xfId="0" applyNumberFormat="1" applyFont="1"/>
    <xf numFmtId="0" fontId="3" fillId="0" borderId="0" xfId="0" applyFont="1" applyBorder="1" applyAlignment="1">
      <alignment vertical="top"/>
    </xf>
    <xf numFmtId="0" fontId="3" fillId="0" borderId="0" xfId="0" applyFont="1" applyBorder="1"/>
    <xf numFmtId="164" fontId="7" fillId="0" borderId="0" xfId="0" applyNumberFormat="1" applyFont="1" applyBorder="1" applyAlignment="1">
      <alignment horizontal="right" vertical="top"/>
    </xf>
    <xf numFmtId="0" fontId="4" fillId="0" borderId="0" xfId="0" applyFont="1"/>
    <xf numFmtId="164" fontId="7" fillId="0" borderId="0" xfId="0" applyNumberFormat="1" applyFont="1" applyAlignment="1">
      <alignment horizontal="right"/>
    </xf>
    <xf numFmtId="0" fontId="3" fillId="0" borderId="2" xfId="5" applyFont="1" applyBorder="1" applyAlignment="1">
      <alignment horizontal="left" vertical="center"/>
    </xf>
    <xf numFmtId="166" fontId="7" fillId="0" borderId="0" xfId="0" applyNumberFormat="1" applyFont="1"/>
    <xf numFmtId="0" fontId="3" fillId="0" borderId="0" xfId="0" applyFont="1" applyBorder="1" applyAlignment="1">
      <alignment horizontal="left" vertical="center"/>
    </xf>
    <xf numFmtId="166" fontId="7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166" fontId="3" fillId="0" borderId="0" xfId="0" quotePrefix="1" applyNumberFormat="1" applyFont="1" applyAlignment="1">
      <alignment horizontal="right" vertical="center"/>
    </xf>
    <xf numFmtId="166" fontId="8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6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7" fillId="0" borderId="0" xfId="0" applyNumberFormat="1" applyFont="1" applyBorder="1"/>
    <xf numFmtId="166" fontId="3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/>
    <xf numFmtId="166" fontId="9" fillId="0" borderId="0" xfId="0" applyNumberFormat="1" applyFont="1"/>
    <xf numFmtId="168" fontId="3" fillId="0" borderId="0" xfId="0" applyNumberFormat="1" applyFont="1" applyAlignment="1">
      <alignment vertical="center"/>
    </xf>
    <xf numFmtId="0" fontId="13" fillId="2" borderId="5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centerContinuous"/>
    </xf>
    <xf numFmtId="166" fontId="16" fillId="0" borderId="0" xfId="0" applyNumberFormat="1" applyFont="1"/>
    <xf numFmtId="0" fontId="15" fillId="0" borderId="0" xfId="0" applyFont="1"/>
    <xf numFmtId="0" fontId="18" fillId="0" borderId="0" xfId="0" applyFont="1" applyBorder="1" applyAlignment="1">
      <alignment horizontal="left" vertical="center"/>
    </xf>
    <xf numFmtId="166" fontId="18" fillId="0" borderId="0" xfId="0" applyNumberFormat="1" applyFont="1"/>
    <xf numFmtId="165" fontId="15" fillId="0" borderId="0" xfId="0" applyNumberFormat="1" applyFont="1" applyBorder="1"/>
    <xf numFmtId="166" fontId="19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167" fontId="3" fillId="0" borderId="0" xfId="0" applyNumberFormat="1" applyFont="1"/>
    <xf numFmtId="0" fontId="17" fillId="0" borderId="0" xfId="0" applyFont="1"/>
    <xf numFmtId="0" fontId="23" fillId="2" borderId="5" xfId="0" applyFont="1" applyFill="1" applyBorder="1" applyAlignment="1">
      <alignment horizontal="centerContinuous"/>
    </xf>
    <xf numFmtId="0" fontId="24" fillId="2" borderId="6" xfId="0" applyFont="1" applyFill="1" applyBorder="1" applyAlignment="1">
      <alignment horizontal="centerContinuous"/>
    </xf>
    <xf numFmtId="0" fontId="24" fillId="2" borderId="7" xfId="0" applyFont="1" applyFill="1" applyBorder="1" applyAlignment="1">
      <alignment horizontal="centerContinuous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2" xfId="5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Continuous" vertical="center"/>
    </xf>
    <xf numFmtId="0" fontId="17" fillId="0" borderId="3" xfId="0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166" fontId="15" fillId="0" borderId="0" xfId="0" applyNumberFormat="1" applyFont="1"/>
    <xf numFmtId="166" fontId="17" fillId="0" borderId="0" xfId="0" applyNumberFormat="1" applyFont="1"/>
    <xf numFmtId="166" fontId="15" fillId="0" borderId="0" xfId="0" applyNumberFormat="1" applyFont="1" applyAlignment="1">
      <alignment horizontal="right" vertical="center"/>
    </xf>
    <xf numFmtId="166" fontId="19" fillId="0" borderId="0" xfId="0" applyNumberFormat="1" applyFont="1"/>
    <xf numFmtId="0" fontId="15" fillId="0" borderId="0" xfId="1" applyFont="1" applyFill="1" applyBorder="1" applyProtection="1"/>
    <xf numFmtId="0" fontId="15" fillId="0" borderId="0" xfId="1" applyFont="1" applyFill="1" applyBorder="1"/>
    <xf numFmtId="0" fontId="15" fillId="0" borderId="0" xfId="1" applyNumberFormat="1" applyFont="1" applyFill="1" applyProtection="1"/>
    <xf numFmtId="0" fontId="15" fillId="0" borderId="0" xfId="0" applyFont="1" applyFill="1" applyBorder="1"/>
    <xf numFmtId="0" fontId="15" fillId="0" borderId="0" xfId="0" applyFont="1" applyFill="1"/>
    <xf numFmtId="166" fontId="15" fillId="0" borderId="0" xfId="0" applyNumberFormat="1" applyFont="1" applyFill="1"/>
    <xf numFmtId="166" fontId="15" fillId="0" borderId="0" xfId="0" applyNumberFormat="1" applyFont="1" applyFill="1" applyBorder="1"/>
    <xf numFmtId="165" fontId="19" fillId="0" borderId="0" xfId="0" applyNumberFormat="1" applyFont="1" applyBorder="1"/>
    <xf numFmtId="0" fontId="17" fillId="0" borderId="0" xfId="1" applyFont="1" applyFill="1" applyBorder="1" applyAlignment="1" applyProtection="1">
      <alignment vertical="top"/>
    </xf>
    <xf numFmtId="165" fontId="17" fillId="0" borderId="0" xfId="0" applyNumberFormat="1" applyFont="1" applyBorder="1" applyAlignment="1">
      <alignment vertical="top"/>
    </xf>
    <xf numFmtId="0" fontId="15" fillId="0" borderId="0" xfId="0" applyFont="1" applyBorder="1"/>
    <xf numFmtId="0" fontId="15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0" fontId="17" fillId="0" borderId="0" xfId="4" applyFont="1" applyBorder="1">
      <alignment horizontal="left"/>
    </xf>
    <xf numFmtId="0" fontId="17" fillId="0" borderId="0" xfId="1" applyFont="1" applyFill="1" applyBorder="1" applyProtection="1"/>
    <xf numFmtId="0" fontId="17" fillId="0" borderId="0" xfId="1" applyFont="1" applyFill="1" applyBorder="1" applyAlignment="1">
      <alignment vertical="top"/>
    </xf>
    <xf numFmtId="0" fontId="15" fillId="0" borderId="0" xfId="1" applyFont="1" applyFill="1" applyBorder="1" applyAlignment="1" applyProtection="1">
      <alignment vertical="center"/>
    </xf>
    <xf numFmtId="164" fontId="15" fillId="0" borderId="0" xfId="0" applyNumberFormat="1" applyFont="1" applyAlignment="1">
      <alignment horizontal="right"/>
    </xf>
    <xf numFmtId="165" fontId="20" fillId="0" borderId="0" xfId="0" applyNumberFormat="1" applyFont="1" applyBorder="1"/>
    <xf numFmtId="165" fontId="21" fillId="0" borderId="0" xfId="0" applyNumberFormat="1" applyFont="1" applyBorder="1"/>
    <xf numFmtId="164" fontId="8" fillId="0" borderId="0" xfId="0" applyNumberFormat="1" applyFont="1" applyAlignment="1">
      <alignment horizontal="right"/>
    </xf>
    <xf numFmtId="0" fontId="18" fillId="0" borderId="0" xfId="1" applyFont="1" applyFill="1" applyBorder="1" applyProtection="1"/>
    <xf numFmtId="0" fontId="17" fillId="0" borderId="0" xfId="1" applyFont="1" applyFill="1" applyBorder="1" applyAlignment="1">
      <alignment horizontal="center"/>
    </xf>
    <xf numFmtId="0" fontId="17" fillId="0" borderId="2" xfId="0" applyFont="1" applyBorder="1" applyAlignment="1">
      <alignment vertical="center"/>
    </xf>
    <xf numFmtId="0" fontId="26" fillId="0" borderId="0" xfId="1" applyFont="1" applyFill="1" applyBorder="1" applyAlignment="1">
      <alignment horizontal="centerContinuous" vertical="center"/>
    </xf>
    <xf numFmtId="0" fontId="27" fillId="0" borderId="4" xfId="1" quotePrefix="1" applyFont="1" applyFill="1" applyBorder="1" applyAlignment="1" applyProtection="1">
      <alignment horizontal="centerContinuous" vertical="center"/>
    </xf>
    <xf numFmtId="0" fontId="26" fillId="0" borderId="0" xfId="1" applyFont="1" applyFill="1" applyBorder="1" applyAlignment="1" applyProtection="1">
      <alignment horizontal="centerContinuous" vertical="center"/>
    </xf>
    <xf numFmtId="0" fontId="17" fillId="0" borderId="0" xfId="0" applyFont="1" applyBorder="1" applyAlignment="1"/>
    <xf numFmtId="0" fontId="15" fillId="0" borderId="0" xfId="1" applyFont="1" applyFill="1"/>
    <xf numFmtId="0" fontId="22" fillId="0" borderId="0" xfId="0" applyFont="1" applyFill="1" applyBorder="1"/>
    <xf numFmtId="165" fontId="22" fillId="0" borderId="0" xfId="0" applyNumberFormat="1" applyFont="1" applyBorder="1"/>
    <xf numFmtId="165" fontId="26" fillId="0" borderId="0" xfId="0" applyNumberFormat="1" applyFont="1" applyBorder="1" applyAlignment="1">
      <alignment vertical="top"/>
    </xf>
    <xf numFmtId="164" fontId="20" fillId="0" borderId="8" xfId="0" applyNumberFormat="1" applyFont="1" applyBorder="1" applyAlignment="1">
      <alignment horizontal="right" vertical="center"/>
    </xf>
    <xf numFmtId="0" fontId="28" fillId="0" borderId="0" xfId="0" applyFont="1" applyBorder="1"/>
    <xf numFmtId="0" fontId="22" fillId="0" borderId="0" xfId="0" applyFont="1" applyBorder="1"/>
    <xf numFmtId="0" fontId="29" fillId="0" borderId="0" xfId="0" applyFont="1" applyFill="1" applyBorder="1"/>
    <xf numFmtId="166" fontId="29" fillId="0" borderId="0" xfId="0" applyNumberFormat="1" applyFont="1" applyFill="1" applyBorder="1"/>
    <xf numFmtId="10" fontId="30" fillId="0" borderId="0" xfId="1" applyNumberFormat="1" applyFont="1" applyFill="1" applyBorder="1" applyAlignment="1">
      <alignment horizontal="left" vertical="center"/>
    </xf>
    <xf numFmtId="0" fontId="30" fillId="0" borderId="0" xfId="0" applyFont="1" applyFill="1" applyBorder="1"/>
    <xf numFmtId="166" fontId="30" fillId="0" borderId="0" xfId="0" applyNumberFormat="1" applyFont="1" applyFill="1" applyBorder="1"/>
    <xf numFmtId="0" fontId="31" fillId="0" borderId="0" xfId="1" applyFont="1" applyFill="1" applyBorder="1" applyProtection="1"/>
    <xf numFmtId="0" fontId="32" fillId="0" borderId="0" xfId="1" applyFont="1" applyFill="1" applyBorder="1"/>
    <xf numFmtId="0" fontId="29" fillId="0" borderId="0" xfId="1" applyFont="1" applyFill="1" applyBorder="1"/>
    <xf numFmtId="0" fontId="22" fillId="0" borderId="0" xfId="1" applyFont="1" applyFill="1" applyBorder="1"/>
    <xf numFmtId="165" fontId="33" fillId="0" borderId="0" xfId="0" applyNumberFormat="1" applyFont="1" applyBorder="1" applyAlignment="1">
      <alignment vertical="center"/>
    </xf>
    <xf numFmtId="165" fontId="20" fillId="0" borderId="8" xfId="0" applyNumberFormat="1" applyFont="1" applyBorder="1"/>
    <xf numFmtId="0" fontId="15" fillId="0" borderId="4" xfId="0" applyFont="1" applyBorder="1"/>
    <xf numFmtId="165" fontId="15" fillId="0" borderId="4" xfId="0" applyNumberFormat="1" applyFont="1" applyBorder="1"/>
    <xf numFmtId="165" fontId="15" fillId="0" borderId="0" xfId="0" applyNumberFormat="1" applyFont="1"/>
    <xf numFmtId="0" fontId="15" fillId="0" borderId="0" xfId="0" applyFont="1" applyFill="1" applyAlignment="1">
      <alignment vertical="center"/>
    </xf>
    <xf numFmtId="0" fontId="15" fillId="0" borderId="2" xfId="1" applyFont="1" applyFill="1" applyBorder="1" applyAlignment="1" applyProtection="1">
      <alignment vertical="center"/>
    </xf>
    <xf numFmtId="0" fontId="15" fillId="0" borderId="2" xfId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6" fontId="15" fillId="0" borderId="0" xfId="0" applyNumberFormat="1" applyFont="1" applyFill="1" applyAlignment="1">
      <alignment vertical="center"/>
    </xf>
    <xf numFmtId="0" fontId="15" fillId="0" borderId="4" xfId="1" applyFont="1" applyFill="1" applyBorder="1" applyAlignment="1" applyProtection="1">
      <alignment vertical="center"/>
    </xf>
    <xf numFmtId="165" fontId="34" fillId="0" borderId="0" xfId="0" applyNumberFormat="1" applyFont="1" applyBorder="1"/>
    <xf numFmtId="165" fontId="34" fillId="0" borderId="0" xfId="0" applyNumberFormat="1" applyFont="1" applyFill="1" applyBorder="1"/>
    <xf numFmtId="165" fontId="15" fillId="0" borderId="0" xfId="0" applyNumberFormat="1" applyFont="1" applyFill="1" applyBorder="1"/>
    <xf numFmtId="165" fontId="22" fillId="0" borderId="0" xfId="0" applyNumberFormat="1" applyFont="1" applyFill="1" applyBorder="1"/>
    <xf numFmtId="0" fontId="17" fillId="0" borderId="0" xfId="0" applyFont="1" applyBorder="1" applyAlignment="1">
      <alignment vertical="top"/>
    </xf>
    <xf numFmtId="165" fontId="27" fillId="0" borderId="0" xfId="0" applyNumberFormat="1" applyFont="1" applyBorder="1" applyAlignment="1">
      <alignment vertical="top"/>
    </xf>
    <xf numFmtId="164" fontId="34" fillId="0" borderId="0" xfId="0" applyNumberFormat="1" applyFont="1" applyBorder="1"/>
    <xf numFmtId="164" fontId="15" fillId="0" borderId="0" xfId="0" applyNumberFormat="1" applyFont="1" applyBorder="1"/>
    <xf numFmtId="164" fontId="22" fillId="0" borderId="0" xfId="0" applyNumberFormat="1" applyFont="1" applyBorder="1"/>
    <xf numFmtId="0" fontId="29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165" fontId="27" fillId="0" borderId="0" xfId="0" applyNumberFormat="1" applyFont="1" applyBorder="1" applyAlignment="1">
      <alignment vertical="center"/>
    </xf>
    <xf numFmtId="165" fontId="17" fillId="0" borderId="0" xfId="0" applyNumberFormat="1" applyFont="1" applyBorder="1" applyAlignment="1">
      <alignment vertical="center"/>
    </xf>
    <xf numFmtId="165" fontId="26" fillId="0" borderId="0" xfId="0" applyNumberFormat="1" applyFont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165" fontId="34" fillId="0" borderId="0" xfId="1" applyNumberFormat="1" applyFont="1" applyFill="1" applyBorder="1"/>
    <xf numFmtId="165" fontId="15" fillId="0" borderId="0" xfId="1" applyNumberFormat="1" applyFont="1" applyFill="1" applyBorder="1"/>
    <xf numFmtId="165" fontId="22" fillId="0" borderId="0" xfId="1" applyNumberFormat="1" applyFont="1" applyFill="1" applyBorder="1"/>
    <xf numFmtId="165" fontId="32" fillId="0" borderId="0" xfId="0" applyNumberFormat="1" applyFont="1" applyBorder="1"/>
    <xf numFmtId="164" fontId="34" fillId="0" borderId="0" xfId="1" applyNumberFormat="1" applyFont="1" applyFill="1" applyBorder="1"/>
    <xf numFmtId="164" fontId="15" fillId="0" borderId="0" xfId="1" applyNumberFormat="1" applyFont="1" applyFill="1" applyBorder="1"/>
    <xf numFmtId="0" fontId="35" fillId="0" borderId="0" xfId="0" applyFont="1" applyBorder="1" applyAlignment="1"/>
    <xf numFmtId="165" fontId="36" fillId="0" borderId="0" xfId="0" applyNumberFormat="1" applyFont="1" applyBorder="1" applyAlignment="1">
      <alignment vertical="top"/>
    </xf>
    <xf numFmtId="9" fontId="29" fillId="0" borderId="0" xfId="2" applyFont="1" applyFill="1" applyBorder="1"/>
    <xf numFmtId="169" fontId="20" fillId="0" borderId="8" xfId="0" applyNumberFormat="1" applyFont="1" applyBorder="1" applyAlignment="1">
      <alignment horizontal="center"/>
    </xf>
    <xf numFmtId="9" fontId="3" fillId="0" borderId="0" xfId="2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top"/>
    </xf>
    <xf numFmtId="165" fontId="7" fillId="0" borderId="9" xfId="0" applyNumberFormat="1" applyFont="1" applyBorder="1"/>
    <xf numFmtId="165" fontId="7" fillId="0" borderId="2" xfId="0" applyNumberFormat="1" applyFont="1" applyBorder="1"/>
    <xf numFmtId="165" fontId="7" fillId="0" borderId="10" xfId="0" applyNumberFormat="1" applyFont="1" applyBorder="1"/>
    <xf numFmtId="165" fontId="7" fillId="0" borderId="1" xfId="0" applyNumberFormat="1" applyFont="1" applyBorder="1"/>
    <xf numFmtId="165" fontId="7" fillId="0" borderId="11" xfId="0" applyNumberFormat="1" applyFont="1" applyBorder="1"/>
    <xf numFmtId="165" fontId="7" fillId="0" borderId="12" xfId="0" applyNumberFormat="1" applyFont="1" applyBorder="1"/>
    <xf numFmtId="165" fontId="7" fillId="0" borderId="4" xfId="0" applyNumberFormat="1" applyFont="1" applyBorder="1"/>
    <xf numFmtId="165" fontId="7" fillId="0" borderId="13" xfId="0" applyNumberFormat="1" applyFont="1" applyBorder="1"/>
    <xf numFmtId="0" fontId="13" fillId="2" borderId="6" xfId="0" applyFont="1" applyFill="1" applyBorder="1" applyAlignment="1">
      <alignment horizontal="centerContinuous"/>
    </xf>
    <xf numFmtId="166" fontId="37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166" fontId="38" fillId="0" borderId="0" xfId="0" applyNumberFormat="1" applyFont="1" applyAlignment="1">
      <alignment vertical="center"/>
    </xf>
    <xf numFmtId="166" fontId="39" fillId="0" borderId="0" xfId="0" applyNumberFormat="1" applyFont="1" applyAlignment="1">
      <alignment vertical="center"/>
    </xf>
    <xf numFmtId="168" fontId="17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166" fontId="40" fillId="0" borderId="14" xfId="0" applyNumberFormat="1" applyFont="1" applyBorder="1" applyAlignment="1">
      <alignment vertical="center"/>
    </xf>
    <xf numFmtId="166" fontId="40" fillId="0" borderId="15" xfId="0" applyNumberFormat="1" applyFont="1" applyBorder="1" applyAlignment="1">
      <alignment vertical="center"/>
    </xf>
    <xf numFmtId="166" fontId="40" fillId="0" borderId="16" xfId="0" applyNumberFormat="1" applyFont="1" applyBorder="1" applyAlignment="1">
      <alignment vertical="center"/>
    </xf>
    <xf numFmtId="165" fontId="40" fillId="0" borderId="14" xfId="0" applyNumberFormat="1" applyFont="1" applyBorder="1"/>
    <xf numFmtId="165" fontId="40" fillId="0" borderId="15" xfId="0" applyNumberFormat="1" applyFont="1" applyBorder="1"/>
    <xf numFmtId="165" fontId="40" fillId="0" borderId="16" xfId="0" applyNumberFormat="1" applyFont="1" applyBorder="1"/>
    <xf numFmtId="0" fontId="42" fillId="0" borderId="4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</cellXfs>
  <cellStyles count="6">
    <cellStyle name="Normal" xfId="0" builtinId="0"/>
    <cellStyle name="Normal_LBO" xfId="1"/>
    <cellStyle name="Percent" xfId="2" builtinId="5"/>
    <cellStyle name="Percent 2" xfId="3"/>
    <cellStyle name="Table Title" xfId="4"/>
    <cellStyle name="Table Units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ikouchie/Local%20Settings/Temporary%20Internet%20Files/OLK6C/Old%20Reference%20Materials/Enrique%20LBO%20Cutou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 30.04.02"/>
      <sheetName val="Summary 14.05.02"/>
      <sheetName val="Comparison"/>
      <sheetName val="Assump"/>
      <sheetName val="Conso Adj"/>
      <sheetName val="Adjust"/>
      <sheetName val="Conso"/>
      <sheetName val="Enrique Holding"/>
      <sheetName val="ENV"/>
      <sheetName val="India"/>
      <sheetName val="Depr"/>
      <sheetName val="Amort"/>
      <sheetName val="WACC"/>
      <sheetName val="LBO (Apr 30 Bid) 18 Month"/>
      <sheetName val="PrintMacro"/>
      <sheetName val="DebtMacro"/>
      <sheetName val="Module1"/>
    </sheetNames>
    <sheetDataSet>
      <sheetData sheetId="0" refreshError="1">
        <row r="20">
          <cell r="E20" t="str">
            <v>(GBP in millions, Except per Share Data)</v>
          </cell>
        </row>
        <row r="23">
          <cell r="C23">
            <v>2002</v>
          </cell>
        </row>
        <row r="27">
          <cell r="E27" t="str">
            <v>Projected Quarter / Fiscal Year Ending March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2"/>
  <sheetViews>
    <sheetView showGridLines="0" zoomScaleNormal="100" workbookViewId="0">
      <selection activeCell="E5" sqref="E5"/>
    </sheetView>
  </sheetViews>
  <sheetFormatPr defaultColWidth="9.140625" defaultRowHeight="11.25"/>
  <cols>
    <col min="1" max="1" width="3.5703125" style="1" customWidth="1"/>
    <col min="2" max="2" width="28.42578125" style="1" customWidth="1"/>
    <col min="3" max="3" width="4.28515625" style="1" customWidth="1"/>
    <col min="4" max="4" width="3.7109375" style="1" customWidth="1"/>
    <col min="5" max="16384" width="9.140625" style="1"/>
  </cols>
  <sheetData>
    <row r="1" spans="2:12" ht="4.5" customHeight="1"/>
    <row r="2" spans="2:12" ht="6" customHeight="1"/>
    <row r="3" spans="2:12" ht="12.75">
      <c r="B3" s="40" t="s">
        <v>71</v>
      </c>
      <c r="C3" s="161"/>
      <c r="D3" s="41"/>
      <c r="E3" s="41"/>
      <c r="F3" s="41"/>
      <c r="G3" s="41"/>
      <c r="H3" s="41"/>
      <c r="I3" s="42"/>
    </row>
    <row r="4" spans="2:12" s="3" customFormat="1" ht="12.95" customHeight="1">
      <c r="B4" s="21"/>
      <c r="C4" s="21"/>
      <c r="D4" s="4"/>
      <c r="E4" s="6" t="s">
        <v>1</v>
      </c>
      <c r="F4" s="6"/>
      <c r="G4" s="6"/>
      <c r="H4" s="6"/>
      <c r="I4" s="6"/>
    </row>
    <row r="5" spans="2:12" s="7" customFormat="1" ht="12.95" customHeight="1">
      <c r="B5" s="8" t="s">
        <v>64</v>
      </c>
      <c r="C5" s="8"/>
      <c r="D5" s="9"/>
      <c r="E5" s="10">
        <f>'Financials  - ABC Industries'!E4</f>
        <v>2015</v>
      </c>
      <c r="F5" s="10">
        <f>E5+1</f>
        <v>2016</v>
      </c>
      <c r="G5" s="10">
        <f>F5+1</f>
        <v>2017</v>
      </c>
      <c r="H5" s="10">
        <f>G5+1</f>
        <v>2018</v>
      </c>
      <c r="I5" s="10">
        <f>H5+1</f>
        <v>2019</v>
      </c>
    </row>
    <row r="6" spans="2:12" ht="15" customHeight="1">
      <c r="B6" s="1" t="s">
        <v>2</v>
      </c>
      <c r="E6" s="20">
        <v>0.08</v>
      </c>
      <c r="F6" s="20">
        <v>7.0000000000000007E-2</v>
      </c>
      <c r="G6" s="20">
        <v>0.06</v>
      </c>
      <c r="H6" s="20">
        <v>0.05</v>
      </c>
      <c r="I6" s="20">
        <v>0.04</v>
      </c>
    </row>
    <row r="7" spans="2:12" ht="15" customHeight="1">
      <c r="B7" s="12" t="s">
        <v>3</v>
      </c>
      <c r="C7" s="12"/>
      <c r="E7" s="20">
        <v>0.57999999999999996</v>
      </c>
      <c r="F7" s="20">
        <v>0.56000000000000005</v>
      </c>
      <c r="G7" s="20">
        <v>0.55000000000000004</v>
      </c>
      <c r="H7" s="20">
        <v>0.53</v>
      </c>
      <c r="I7" s="20">
        <v>0.52</v>
      </c>
    </row>
    <row r="8" spans="2:12" ht="15" customHeight="1">
      <c r="B8" s="12" t="s">
        <v>73</v>
      </c>
      <c r="C8" s="12"/>
      <c r="E8" s="20">
        <v>0.12</v>
      </c>
      <c r="F8" s="20">
        <v>0.12</v>
      </c>
      <c r="G8" s="20">
        <v>0.11</v>
      </c>
      <c r="H8" s="20">
        <v>0.1</v>
      </c>
      <c r="I8" s="20">
        <v>0.09</v>
      </c>
    </row>
    <row r="9" spans="2:12" ht="15" customHeight="1">
      <c r="B9" s="12" t="s">
        <v>66</v>
      </c>
      <c r="C9" s="12"/>
      <c r="E9" s="20">
        <v>4.4999999999999998E-2</v>
      </c>
      <c r="F9" s="20">
        <v>4.2500000000000003E-2</v>
      </c>
      <c r="G9" s="20">
        <v>0.04</v>
      </c>
      <c r="H9" s="20">
        <v>3.2000000000000001E-2</v>
      </c>
      <c r="I9" s="20">
        <v>0.03</v>
      </c>
    </row>
    <row r="10" spans="2:12" ht="15" customHeight="1">
      <c r="B10" s="12" t="s">
        <v>65</v>
      </c>
      <c r="C10" s="12"/>
      <c r="E10" s="89">
        <v>0.03</v>
      </c>
      <c r="F10" s="89">
        <v>0.02</v>
      </c>
      <c r="G10" s="89">
        <v>1.4999999999999999E-2</v>
      </c>
      <c r="H10" s="89">
        <v>1.4999999999999999E-2</v>
      </c>
      <c r="I10" s="89">
        <v>1.4E-2</v>
      </c>
    </row>
    <row r="11" spans="2:12" ht="15" customHeight="1">
      <c r="B11" s="12" t="s">
        <v>70</v>
      </c>
      <c r="C11" s="12"/>
      <c r="E11" s="86">
        <f>1-SUM(E7:E10)</f>
        <v>0.22499999999999998</v>
      </c>
      <c r="F11" s="86">
        <f>1-SUM(F7:F10)</f>
        <v>0.25749999999999995</v>
      </c>
      <c r="G11" s="86">
        <f>1-SUM(G7:G10)</f>
        <v>0.28499999999999992</v>
      </c>
      <c r="H11" s="86">
        <f>1-SUM(H7:H10)</f>
        <v>0.32299999999999995</v>
      </c>
      <c r="I11" s="86">
        <f>1-SUM(I7:I10)</f>
        <v>0.34599999999999997</v>
      </c>
    </row>
    <row r="12" spans="2:12" ht="6.75" customHeight="1">
      <c r="B12" s="12"/>
      <c r="C12" s="12"/>
      <c r="E12" s="11"/>
      <c r="F12" s="11"/>
      <c r="G12" s="11"/>
      <c r="H12" s="11"/>
      <c r="I12" s="11"/>
    </row>
    <row r="13" spans="2:12" s="13" customFormat="1" ht="15" customHeight="1">
      <c r="B13" s="16" t="s">
        <v>4</v>
      </c>
      <c r="C13" s="16"/>
      <c r="D13" s="16"/>
      <c r="E13" s="18">
        <v>0.35</v>
      </c>
      <c r="F13" s="18">
        <v>0.35</v>
      </c>
      <c r="G13" s="18">
        <v>0.35</v>
      </c>
      <c r="H13" s="18">
        <v>0.35</v>
      </c>
      <c r="I13" s="18">
        <v>0.35</v>
      </c>
      <c r="J13" s="1"/>
      <c r="K13" s="1"/>
      <c r="L13" s="1"/>
    </row>
    <row r="14" spans="2:12" ht="6.75" customHeight="1">
      <c r="B14" s="12"/>
      <c r="C14" s="12"/>
      <c r="E14" s="11"/>
      <c r="F14" s="11"/>
      <c r="G14" s="11"/>
      <c r="H14" s="11"/>
      <c r="I14" s="11"/>
    </row>
    <row r="15" spans="2:12" s="17" customFormat="1" ht="15" customHeight="1">
      <c r="B15" s="14" t="s">
        <v>0</v>
      </c>
      <c r="C15" s="14"/>
      <c r="E15" s="153">
        <v>58</v>
      </c>
      <c r="F15" s="154">
        <v>56</v>
      </c>
      <c r="G15" s="154">
        <v>55</v>
      </c>
      <c r="H15" s="154">
        <v>55</v>
      </c>
      <c r="I15" s="155">
        <v>55</v>
      </c>
      <c r="J15" s="1"/>
      <c r="K15" s="1"/>
      <c r="L15" s="1"/>
    </row>
    <row r="16" spans="2:12" ht="15" customHeight="1">
      <c r="B16" s="14" t="s">
        <v>34</v>
      </c>
      <c r="C16" s="14"/>
      <c r="E16" s="156">
        <v>40</v>
      </c>
      <c r="F16" s="34">
        <v>38</v>
      </c>
      <c r="G16" s="34">
        <v>37</v>
      </c>
      <c r="H16" s="34">
        <v>36</v>
      </c>
      <c r="I16" s="157">
        <v>35</v>
      </c>
    </row>
    <row r="17" spans="2:9" ht="15" customHeight="1">
      <c r="B17" s="14" t="s">
        <v>72</v>
      </c>
      <c r="C17" s="14"/>
      <c r="E17" s="158">
        <v>60</v>
      </c>
      <c r="F17" s="159">
        <v>60</v>
      </c>
      <c r="G17" s="159">
        <v>60</v>
      </c>
      <c r="H17" s="159">
        <v>60</v>
      </c>
      <c r="I17" s="160">
        <v>60</v>
      </c>
    </row>
    <row r="18" spans="2:9" ht="15" customHeight="1">
      <c r="B18" s="14" t="s">
        <v>32</v>
      </c>
      <c r="C18" s="14"/>
      <c r="E18" s="34">
        <v>0</v>
      </c>
      <c r="F18" s="34">
        <v>0</v>
      </c>
      <c r="G18" s="34">
        <v>0</v>
      </c>
      <c r="H18" s="34">
        <v>0</v>
      </c>
      <c r="I18" s="34">
        <v>0</v>
      </c>
    </row>
    <row r="19" spans="2:9" ht="15" customHeight="1">
      <c r="B19" s="14" t="s">
        <v>33</v>
      </c>
      <c r="C19" s="14"/>
      <c r="E19" s="34">
        <v>0</v>
      </c>
      <c r="F19" s="34">
        <v>0</v>
      </c>
      <c r="G19" s="34">
        <v>0</v>
      </c>
      <c r="H19" s="34">
        <v>0</v>
      </c>
      <c r="I19" s="34">
        <v>0</v>
      </c>
    </row>
    <row r="20" spans="2:9" ht="6.75" customHeight="1">
      <c r="B20" s="12"/>
      <c r="C20" s="12"/>
      <c r="E20" s="11"/>
      <c r="F20" s="11"/>
      <c r="G20" s="11"/>
      <c r="H20" s="11"/>
      <c r="I20" s="11"/>
    </row>
    <row r="21" spans="2:9" ht="15" customHeight="1">
      <c r="B21" s="14" t="s">
        <v>24</v>
      </c>
      <c r="C21" s="14"/>
      <c r="E21" s="22">
        <v>40</v>
      </c>
      <c r="F21" s="22">
        <v>35</v>
      </c>
      <c r="G21" s="22">
        <v>30</v>
      </c>
      <c r="H21" s="22">
        <v>30</v>
      </c>
      <c r="I21" s="22">
        <v>30</v>
      </c>
    </row>
    <row r="22" spans="2:9" ht="6.75" customHeight="1"/>
  </sheetData>
  <phoneticPr fontId="0" type="noConversion"/>
  <pageMargins left="0.75" right="0.75" top="1" bottom="1" header="0.5" footer="0.5"/>
  <pageSetup paperSize="9" fitToHeight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showGridLines="0" view="pageBreakPreview" zoomScaleNormal="100" zoomScaleSheetLayoutView="100" workbookViewId="0">
      <pane ySplit="1" topLeftCell="A30" activePane="bottomLeft" state="frozen"/>
      <selection pane="bottomLeft" activeCell="I56" sqref="I56"/>
    </sheetView>
  </sheetViews>
  <sheetFormatPr defaultColWidth="9.140625" defaultRowHeight="11.25"/>
  <cols>
    <col min="1" max="1" width="3.5703125" style="1" customWidth="1"/>
    <col min="2" max="2" width="27.5703125" style="1" customWidth="1"/>
    <col min="3" max="3" width="8.140625" style="1" bestFit="1" customWidth="1"/>
    <col min="4" max="9" width="9.85546875" style="1" customWidth="1"/>
    <col min="10" max="16384" width="9.140625" style="1"/>
  </cols>
  <sheetData>
    <row r="1" spans="2:9" ht="12.75">
      <c r="B1" s="40" t="s">
        <v>74</v>
      </c>
      <c r="C1" s="41"/>
      <c r="D1" s="41"/>
      <c r="E1" s="41"/>
      <c r="F1" s="41"/>
      <c r="G1" s="41"/>
      <c r="H1" s="41"/>
      <c r="I1" s="42"/>
    </row>
    <row r="2" spans="2:9" ht="11.45" customHeight="1">
      <c r="B2" s="19" t="s">
        <v>20</v>
      </c>
      <c r="D2" s="2"/>
      <c r="E2" s="2"/>
      <c r="F2" s="2"/>
      <c r="G2" s="2"/>
      <c r="H2" s="2"/>
      <c r="I2" s="2"/>
    </row>
    <row r="3" spans="2:9" s="3" customFormat="1" ht="12.95" customHeight="1">
      <c r="B3" s="21"/>
      <c r="C3" s="4"/>
      <c r="D3" s="5"/>
      <c r="E3" s="6" t="s">
        <v>1</v>
      </c>
      <c r="F3" s="6"/>
      <c r="G3" s="6"/>
      <c r="H3" s="6"/>
      <c r="I3" s="6"/>
    </row>
    <row r="4" spans="2:9" s="7" customFormat="1" ht="12.95" customHeight="1">
      <c r="B4" s="8" t="s">
        <v>64</v>
      </c>
      <c r="C4" s="10"/>
      <c r="D4" s="176">
        <v>2014</v>
      </c>
      <c r="E4" s="10">
        <f>D4+1</f>
        <v>2015</v>
      </c>
      <c r="F4" s="10">
        <f>E4+1</f>
        <v>2016</v>
      </c>
      <c r="G4" s="10">
        <f>F4+1</f>
        <v>2017</v>
      </c>
      <c r="H4" s="10">
        <f>G4+1</f>
        <v>2018</v>
      </c>
      <c r="I4" s="10">
        <f>H4+1</f>
        <v>2019</v>
      </c>
    </row>
    <row r="5" spans="2:9" s="3" customFormat="1" ht="14.25" customHeight="1">
      <c r="B5" s="23" t="s">
        <v>5</v>
      </c>
      <c r="D5" s="24">
        <v>150</v>
      </c>
      <c r="E5" s="25">
        <f>D5*(1+'Assumptions - ABC Industries'!E6)</f>
        <v>162</v>
      </c>
      <c r="F5" s="25">
        <f>E5*(1+'Assumptions - ABC Industries'!F6)</f>
        <v>173.34</v>
      </c>
      <c r="G5" s="25">
        <f>F5*(1+'Assumptions - ABC Industries'!G6)</f>
        <v>183.74040000000002</v>
      </c>
      <c r="H5" s="25">
        <f>G5*(1+'Assumptions - ABC Industries'!H6)</f>
        <v>192.92742000000004</v>
      </c>
      <c r="I5" s="25">
        <f>H5*(1+'Assumptions - ABC Industries'!I6)</f>
        <v>200.64451680000005</v>
      </c>
    </row>
    <row r="6" spans="2:9" s="3" customFormat="1" ht="14.25" customHeight="1">
      <c r="B6" s="26" t="s">
        <v>10</v>
      </c>
      <c r="D6" s="27" t="s">
        <v>15</v>
      </c>
      <c r="E6" s="29">
        <f>E5/D5-1</f>
        <v>8.0000000000000071E-2</v>
      </c>
      <c r="F6" s="29">
        <f>F5/E5-1</f>
        <v>7.0000000000000062E-2</v>
      </c>
      <c r="G6" s="29">
        <f>G5/F5-1</f>
        <v>6.0000000000000053E-2</v>
      </c>
      <c r="H6" s="29">
        <f>H5/G5-1</f>
        <v>5.0000000000000044E-2</v>
      </c>
      <c r="I6" s="29">
        <f>I5/H5-1</f>
        <v>4.0000000000000036E-2</v>
      </c>
    </row>
    <row r="7" spans="2:9" s="3" customFormat="1" ht="14.25" customHeight="1">
      <c r="B7" s="3" t="s">
        <v>6</v>
      </c>
      <c r="D7" s="24">
        <v>90</v>
      </c>
      <c r="E7" s="25">
        <f>E5*'Assumptions - ABC Industries'!E7</f>
        <v>93.96</v>
      </c>
      <c r="F7" s="25">
        <f>F5*'Assumptions - ABC Industries'!F7</f>
        <v>97.070400000000006</v>
      </c>
      <c r="G7" s="25">
        <f>G5*'Assumptions - ABC Industries'!G7</f>
        <v>101.05722000000002</v>
      </c>
      <c r="H7" s="25">
        <f>H5*'Assumptions - ABC Industries'!H7</f>
        <v>102.25153260000003</v>
      </c>
      <c r="I7" s="25">
        <f>I5*'Assumptions - ABC Industries'!I7</f>
        <v>104.33514873600002</v>
      </c>
    </row>
    <row r="8" spans="2:9" s="3" customFormat="1" ht="14.25" customHeight="1">
      <c r="B8" s="26" t="s">
        <v>9</v>
      </c>
      <c r="D8" s="29">
        <f t="shared" ref="D8:I8" si="0">1-D7/D$5</f>
        <v>0.4</v>
      </c>
      <c r="E8" s="29">
        <f t="shared" si="0"/>
        <v>0.42000000000000004</v>
      </c>
      <c r="F8" s="29">
        <f t="shared" si="0"/>
        <v>0.43999999999999995</v>
      </c>
      <c r="G8" s="29">
        <f t="shared" si="0"/>
        <v>0.44999999999999996</v>
      </c>
      <c r="H8" s="29">
        <f t="shared" si="0"/>
        <v>0.47</v>
      </c>
      <c r="I8" s="29">
        <f t="shared" si="0"/>
        <v>0.48</v>
      </c>
    </row>
    <row r="9" spans="2:9" s="3" customFormat="1" ht="14.25" customHeight="1">
      <c r="B9" s="23" t="s">
        <v>67</v>
      </c>
      <c r="D9" s="24">
        <v>17</v>
      </c>
      <c r="E9" s="25">
        <f>E5*'Assumptions - ABC Industries'!E8</f>
        <v>19.439999999999998</v>
      </c>
      <c r="F9" s="25">
        <f>F5*'Assumptions - ABC Industries'!F8</f>
        <v>20.800799999999999</v>
      </c>
      <c r="G9" s="25">
        <f>G5*'Assumptions - ABC Industries'!G8</f>
        <v>20.211444000000004</v>
      </c>
      <c r="H9" s="25">
        <f>H5*'Assumptions - ABC Industries'!H8</f>
        <v>19.292742000000004</v>
      </c>
      <c r="I9" s="25">
        <f>I5*'Assumptions - ABC Industries'!I8</f>
        <v>18.058006512000002</v>
      </c>
    </row>
    <row r="10" spans="2:9" s="3" customFormat="1" ht="14.25" customHeight="1">
      <c r="B10" s="23" t="s">
        <v>68</v>
      </c>
      <c r="D10" s="24">
        <v>4</v>
      </c>
      <c r="E10" s="25">
        <f>E5*'Assumptions - ABC Industries'!E9</f>
        <v>7.29</v>
      </c>
      <c r="F10" s="25">
        <f>F5*'Assumptions - ABC Industries'!F9</f>
        <v>7.366950000000001</v>
      </c>
      <c r="G10" s="25">
        <f>G5*'Assumptions - ABC Industries'!G9</f>
        <v>7.349616000000001</v>
      </c>
      <c r="H10" s="25">
        <f>H5*'Assumptions - ABC Industries'!H9</f>
        <v>6.1736774400000014</v>
      </c>
      <c r="I10" s="25">
        <f>I5*'Assumptions - ABC Industries'!I9</f>
        <v>6.0193355040000016</v>
      </c>
    </row>
    <row r="11" spans="2:9" s="3" customFormat="1" ht="14.25" customHeight="1">
      <c r="B11" s="3" t="s">
        <v>69</v>
      </c>
      <c r="D11" s="49">
        <v>2</v>
      </c>
      <c r="E11" s="48">
        <f>E5*'Assumptions - ABC Industries'!E10</f>
        <v>4.8599999999999994</v>
      </c>
      <c r="F11" s="48">
        <f>F5*'Assumptions - ABC Industries'!F10</f>
        <v>3.4668000000000001</v>
      </c>
      <c r="G11" s="48">
        <f>G5*'Assumptions - ABC Industries'!G10</f>
        <v>2.7561060000000004</v>
      </c>
      <c r="H11" s="48">
        <f>H5*'Assumptions - ABC Industries'!H10</f>
        <v>2.8939113000000005</v>
      </c>
      <c r="I11" s="48">
        <f>I5*'Assumptions - ABC Industries'!I10</f>
        <v>2.8090232352000006</v>
      </c>
    </row>
    <row r="12" spans="2:9" s="33" customFormat="1" ht="14.25" customHeight="1">
      <c r="B12" s="33" t="s">
        <v>7</v>
      </c>
      <c r="D12" s="32">
        <f t="shared" ref="D12:I12" si="1">D5-D7-D9-D10-D11</f>
        <v>37</v>
      </c>
      <c r="E12" s="32">
        <f t="shared" si="1"/>
        <v>36.45000000000001</v>
      </c>
      <c r="F12" s="32">
        <f t="shared" si="1"/>
        <v>44.63505</v>
      </c>
      <c r="G12" s="32">
        <f t="shared" si="1"/>
        <v>52.366014000000007</v>
      </c>
      <c r="H12" s="32">
        <f t="shared" si="1"/>
        <v>62.315556659999999</v>
      </c>
      <c r="I12" s="32">
        <f t="shared" si="1"/>
        <v>69.423002812800021</v>
      </c>
    </row>
    <row r="13" spans="2:9" s="3" customFormat="1" ht="14.25" customHeight="1">
      <c r="B13" s="26" t="s">
        <v>8</v>
      </c>
      <c r="D13" s="29">
        <f t="shared" ref="D13:I13" si="2">D12/D$5</f>
        <v>0.24666666666666667</v>
      </c>
      <c r="E13" s="29">
        <f t="shared" si="2"/>
        <v>0.22500000000000006</v>
      </c>
      <c r="F13" s="29">
        <f t="shared" si="2"/>
        <v>0.25750000000000001</v>
      </c>
      <c r="G13" s="29">
        <f t="shared" si="2"/>
        <v>0.28499999999999998</v>
      </c>
      <c r="H13" s="29">
        <f t="shared" si="2"/>
        <v>0.3229999999999999</v>
      </c>
      <c r="I13" s="29">
        <f t="shared" si="2"/>
        <v>0.34600000000000003</v>
      </c>
    </row>
    <row r="14" spans="2:9" s="3" customFormat="1" ht="14.25" customHeight="1">
      <c r="B14" s="3" t="s">
        <v>11</v>
      </c>
      <c r="D14" s="28">
        <v>25</v>
      </c>
      <c r="E14" s="48">
        <f>'Supp Schedule - ABC Industries'!E51</f>
        <v>35</v>
      </c>
      <c r="F14" s="48">
        <f>'Supp Schedule - ABC Industries'!F51</f>
        <v>33.799999999999997</v>
      </c>
      <c r="G14" s="48">
        <f>'Supp Schedule - ABC Industries'!G51</f>
        <v>32.842500000000001</v>
      </c>
      <c r="H14" s="48">
        <f>'Supp Schedule - ABC Industries'!H51</f>
        <v>32.266125000000002</v>
      </c>
      <c r="I14" s="48">
        <f>'Supp Schedule - ABC Industries'!I51</f>
        <v>34.140229166666664</v>
      </c>
    </row>
    <row r="15" spans="2:9" s="3" customFormat="1" ht="14.25" customHeight="1">
      <c r="B15" s="3" t="s">
        <v>12</v>
      </c>
      <c r="D15" s="25">
        <f t="shared" ref="D15:I15" si="3">D12-D14</f>
        <v>12</v>
      </c>
      <c r="E15" s="25">
        <f t="shared" si="3"/>
        <v>1.4500000000000099</v>
      </c>
      <c r="F15" s="25">
        <f t="shared" si="3"/>
        <v>10.835050000000003</v>
      </c>
      <c r="G15" s="25">
        <f t="shared" si="3"/>
        <v>19.523514000000006</v>
      </c>
      <c r="H15" s="25">
        <f t="shared" si="3"/>
        <v>30.049431659999996</v>
      </c>
      <c r="I15" s="25">
        <f t="shared" si="3"/>
        <v>35.282773646133357</v>
      </c>
    </row>
    <row r="16" spans="2:9" s="3" customFormat="1" ht="14.25" customHeight="1">
      <c r="B16" s="26" t="s">
        <v>13</v>
      </c>
      <c r="D16" s="29">
        <f t="shared" ref="D16:I16" si="4">D15/D$5</f>
        <v>0.08</v>
      </c>
      <c r="E16" s="29">
        <f t="shared" si="4"/>
        <v>8.9506172839506782E-3</v>
      </c>
      <c r="F16" s="29">
        <f t="shared" si="4"/>
        <v>6.2507499711549563E-2</v>
      </c>
      <c r="G16" s="29">
        <f t="shared" si="4"/>
        <v>0.10625596765871852</v>
      </c>
      <c r="H16" s="29">
        <f t="shared" si="4"/>
        <v>0.15575511070432596</v>
      </c>
      <c r="I16" s="29">
        <f t="shared" si="4"/>
        <v>0.17584718590293094</v>
      </c>
    </row>
    <row r="17" spans="2:13" s="3" customFormat="1" ht="6" customHeight="1" thickBot="1">
      <c r="B17" s="26"/>
      <c r="D17" s="29"/>
      <c r="E17" s="29"/>
      <c r="F17" s="29"/>
      <c r="G17" s="29"/>
      <c r="H17" s="29"/>
      <c r="I17" s="29"/>
    </row>
    <row r="18" spans="2:13" s="3" customFormat="1" ht="14.25" customHeight="1" thickBot="1">
      <c r="B18" s="3" t="s">
        <v>16</v>
      </c>
      <c r="D18" s="24">
        <v>0.5</v>
      </c>
      <c r="E18" s="170">
        <v>0</v>
      </c>
      <c r="F18" s="171">
        <v>0</v>
      </c>
      <c r="G18" s="171">
        <v>0</v>
      </c>
      <c r="H18" s="171">
        <v>0</v>
      </c>
      <c r="I18" s="172">
        <v>0</v>
      </c>
      <c r="J18" s="162"/>
      <c r="K18" s="162"/>
      <c r="L18" s="162"/>
      <c r="M18" s="162"/>
    </row>
    <row r="19" spans="2:13" s="3" customFormat="1" ht="14.25" customHeight="1">
      <c r="B19" s="3" t="s">
        <v>17</v>
      </c>
      <c r="D19" s="28">
        <v>-8</v>
      </c>
      <c r="E19" s="48">
        <f>-('Supp Schedule - ABC Industries'!E21+'Supp Schedule - ABC Industries'!E29+'Supp Schedule - ABC Industries'!E37+'Supp Schedule - ABC Industries'!E38)</f>
        <v>-8.4499999999999993</v>
      </c>
      <c r="F19" s="48">
        <f>-('Supp Schedule - ABC Industries'!F21+'Supp Schedule - ABC Industries'!F29+'Supp Schedule - ABC Industries'!F37+'Supp Schedule - ABC Industries'!F38)</f>
        <v>-8.8500000000000014</v>
      </c>
      <c r="G19" s="48">
        <f>-('Supp Schedule - ABC Industries'!G21+'Supp Schedule - ABC Industries'!G29+'Supp Schedule - ABC Industries'!G37+'Supp Schedule - ABC Industries'!G38)</f>
        <v>-9.2899999999999991</v>
      </c>
      <c r="H19" s="48">
        <f>-('Supp Schedule - ABC Industries'!H21+'Supp Schedule - ABC Industries'!H29+'Supp Schedule - ABC Industries'!H37+'Supp Schedule - ABC Industries'!H38)</f>
        <v>-9.7740000000000009</v>
      </c>
      <c r="I19" s="48">
        <f>-('Supp Schedule - ABC Industries'!I21+'Supp Schedule - ABC Industries'!I29+'Supp Schedule - ABC Industries'!I37+'Supp Schedule - ABC Industries'!I38)</f>
        <v>-9.7740000000000009</v>
      </c>
    </row>
    <row r="20" spans="2:13" s="3" customFormat="1" ht="14.25" customHeight="1">
      <c r="B20" s="33" t="s">
        <v>22</v>
      </c>
      <c r="C20" s="33"/>
      <c r="D20" s="32">
        <f t="shared" ref="D20:I20" si="5">SUM(D18:D19)+D15</f>
        <v>4.5</v>
      </c>
      <c r="E20" s="32">
        <f t="shared" si="5"/>
        <v>-6.9999999999999893</v>
      </c>
      <c r="F20" s="32">
        <f t="shared" si="5"/>
        <v>1.9850500000000011</v>
      </c>
      <c r="G20" s="32">
        <f t="shared" si="5"/>
        <v>10.233514000000007</v>
      </c>
      <c r="H20" s="32">
        <f t="shared" si="5"/>
        <v>20.275431659999995</v>
      </c>
      <c r="I20" s="32">
        <f t="shared" si="5"/>
        <v>25.508773646133356</v>
      </c>
    </row>
    <row r="21" spans="2:13" s="3" customFormat="1" ht="14.25" customHeight="1">
      <c r="B21" s="3" t="s">
        <v>18</v>
      </c>
      <c r="D21" s="24">
        <f>D20*0.35</f>
        <v>1.575</v>
      </c>
      <c r="E21" s="169">
        <f>'Supp Schedule - ABC Industries'!E78</f>
        <v>-1.0499999999999949</v>
      </c>
      <c r="F21" s="169">
        <f>'Supp Schedule - ABC Industries'!F78</f>
        <v>2.2347674999999998</v>
      </c>
      <c r="G21" s="169">
        <f>'Supp Schedule - ABC Industries'!G78</f>
        <v>5.2757299000000009</v>
      </c>
      <c r="H21" s="169">
        <f>'Supp Schedule - ABC Industries'!H78</f>
        <v>7.096401080999998</v>
      </c>
      <c r="I21" s="169">
        <f>'Supp Schedule - ABC Industries'!I78</f>
        <v>8.928070776146674</v>
      </c>
    </row>
    <row r="22" spans="2:13" s="3" customFormat="1" ht="14.25" customHeight="1">
      <c r="B22" s="3" t="s">
        <v>21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</row>
    <row r="23" spans="2:13" s="33" customFormat="1" ht="14.25" customHeight="1">
      <c r="B23" s="33" t="s">
        <v>19</v>
      </c>
      <c r="D23" s="32">
        <f t="shared" ref="D23:I23" si="6">D20-D21-D22</f>
        <v>2.9249999999999998</v>
      </c>
      <c r="E23" s="32">
        <f t="shared" si="6"/>
        <v>-5.949999999999994</v>
      </c>
      <c r="F23" s="32">
        <f t="shared" si="6"/>
        <v>-0.2497174999999987</v>
      </c>
      <c r="G23" s="32">
        <f t="shared" si="6"/>
        <v>4.9577841000000058</v>
      </c>
      <c r="H23" s="32">
        <f t="shared" si="6"/>
        <v>13.179030578999997</v>
      </c>
      <c r="I23" s="32">
        <f t="shared" si="6"/>
        <v>16.580702869986681</v>
      </c>
    </row>
    <row r="24" spans="2:13">
      <c r="D24" s="50"/>
      <c r="E24" s="151"/>
      <c r="F24" s="151"/>
      <c r="G24" s="151"/>
      <c r="H24" s="151"/>
      <c r="I24" s="151"/>
    </row>
    <row r="25" spans="2:13">
      <c r="D25" s="15"/>
      <c r="E25" s="150"/>
      <c r="F25" s="150"/>
      <c r="G25" s="150"/>
      <c r="H25" s="150"/>
      <c r="I25" s="150"/>
    </row>
    <row r="26" spans="2:13" ht="11.45" customHeight="1">
      <c r="B26" s="19" t="s">
        <v>23</v>
      </c>
      <c r="D26" s="2"/>
      <c r="E26" s="25"/>
      <c r="F26" s="25"/>
      <c r="G26" s="25"/>
      <c r="H26" s="25"/>
      <c r="I26" s="25"/>
    </row>
    <row r="27" spans="2:13" s="3" customFormat="1" ht="12.95" customHeight="1">
      <c r="B27" s="21"/>
      <c r="C27" s="4"/>
      <c r="D27" s="5"/>
      <c r="E27" s="6" t="s">
        <v>1</v>
      </c>
      <c r="F27" s="6"/>
      <c r="G27" s="6"/>
      <c r="H27" s="6"/>
      <c r="I27" s="6"/>
    </row>
    <row r="28" spans="2:13" s="7" customFormat="1" ht="12.95" customHeight="1">
      <c r="B28" s="8" t="s">
        <v>64</v>
      </c>
      <c r="C28" s="10"/>
      <c r="D28" s="176">
        <f t="shared" ref="D28:I28" si="7">D4</f>
        <v>2014</v>
      </c>
      <c r="E28" s="10">
        <f t="shared" si="7"/>
        <v>2015</v>
      </c>
      <c r="F28" s="10">
        <f t="shared" si="7"/>
        <v>2016</v>
      </c>
      <c r="G28" s="10">
        <f t="shared" si="7"/>
        <v>2017</v>
      </c>
      <c r="H28" s="10">
        <f t="shared" si="7"/>
        <v>2018</v>
      </c>
      <c r="I28" s="10">
        <f t="shared" si="7"/>
        <v>2019</v>
      </c>
    </row>
    <row r="29" spans="2:13" s="7" customFormat="1" ht="12.95" customHeight="1" thickBot="1">
      <c r="B29" s="45" t="s">
        <v>116</v>
      </c>
      <c r="C29" s="163"/>
      <c r="D29" s="163"/>
      <c r="E29" s="163"/>
      <c r="F29" s="163"/>
      <c r="G29" s="163"/>
      <c r="H29" s="163"/>
      <c r="I29" s="163"/>
    </row>
    <row r="30" spans="2:13" s="3" customFormat="1" ht="14.25" customHeight="1" thickBot="1">
      <c r="B30" s="23" t="s">
        <v>27</v>
      </c>
      <c r="C30" s="24"/>
      <c r="D30" s="24">
        <v>0.5</v>
      </c>
      <c r="E30" s="170">
        <v>0</v>
      </c>
      <c r="F30" s="171">
        <v>0</v>
      </c>
      <c r="G30" s="171">
        <v>0</v>
      </c>
      <c r="H30" s="171">
        <v>0</v>
      </c>
      <c r="I30" s="172">
        <v>0</v>
      </c>
    </row>
    <row r="31" spans="2:13" s="3" customFormat="1" ht="14.25" customHeight="1">
      <c r="B31" s="23" t="s">
        <v>114</v>
      </c>
      <c r="C31" s="24"/>
      <c r="D31" s="24">
        <v>25</v>
      </c>
      <c r="E31" s="25">
        <f>E5*'Assumptions - ABC Industries'!E15/365</f>
        <v>25.742465753424657</v>
      </c>
      <c r="F31" s="25">
        <f>F5*'Assumptions - ABC Industries'!F15/365</f>
        <v>26.594630136986304</v>
      </c>
      <c r="G31" s="25">
        <f>G5*'Assumptions - ABC Industries'!G15/365</f>
        <v>27.6869095890411</v>
      </c>
      <c r="H31" s="25">
        <f>H5*'Assumptions - ABC Industries'!H15/365</f>
        <v>29.071255068493159</v>
      </c>
      <c r="I31" s="25">
        <f>I5*'Assumptions - ABC Industries'!I15/365</f>
        <v>30.234105271232881</v>
      </c>
    </row>
    <row r="32" spans="2:13" s="3" customFormat="1" ht="14.25" customHeight="1">
      <c r="B32" s="23" t="s">
        <v>26</v>
      </c>
      <c r="C32" s="28"/>
      <c r="D32" s="28">
        <v>11</v>
      </c>
      <c r="E32" s="30">
        <f>(E$7+E$11)*'Assumptions - ABC Industries'!E16/365</f>
        <v>10.82958904109589</v>
      </c>
      <c r="F32" s="30">
        <f>(F$7+F$11)*'Assumptions - ABC Industries'!F16/365</f>
        <v>10.466886575342466</v>
      </c>
      <c r="G32" s="30">
        <f>(G$7+G$11)*'Assumptions - ABC Industries'!G16/365</f>
        <v>10.52354263561644</v>
      </c>
      <c r="H32" s="30">
        <f>(H$7+H$11)*'Assumptions - ABC Industries'!H16/365</f>
        <v>10.370509535342469</v>
      </c>
      <c r="I32" s="30">
        <f>(I$7+I$11)*'Assumptions - ABC Industries'!I16/365</f>
        <v>10.274098682169866</v>
      </c>
      <c r="J32" s="39"/>
    </row>
    <row r="33" spans="2:10" s="19" customFormat="1">
      <c r="B33" s="31" t="s">
        <v>120</v>
      </c>
      <c r="C33" s="32"/>
      <c r="D33" s="32">
        <f t="shared" ref="D33:I33" si="8">SUM(D30:D32)</f>
        <v>36.5</v>
      </c>
      <c r="E33" s="32">
        <f t="shared" si="8"/>
        <v>36.572054794520547</v>
      </c>
      <c r="F33" s="32">
        <f t="shared" si="8"/>
        <v>37.061516712328768</v>
      </c>
      <c r="G33" s="32">
        <f t="shared" si="8"/>
        <v>38.210452224657544</v>
      </c>
      <c r="H33" s="32">
        <f t="shared" si="8"/>
        <v>39.44176460383563</v>
      </c>
      <c r="I33" s="32">
        <f t="shared" si="8"/>
        <v>40.508203953402749</v>
      </c>
    </row>
    <row r="34" spans="2:10" s="3" customFormat="1" ht="14.25" customHeight="1">
      <c r="B34" s="23" t="s">
        <v>25</v>
      </c>
      <c r="C34" s="24"/>
      <c r="D34" s="24">
        <v>220</v>
      </c>
      <c r="E34" s="25">
        <f>D34+'Assumptions - ABC Industries'!E21-'Supp Schedule - ABC Industries'!E51</f>
        <v>225</v>
      </c>
      <c r="F34" s="25">
        <f>E34+'Assumptions - ABC Industries'!F21-'Supp Schedule - ABC Industries'!F51</f>
        <v>226.2</v>
      </c>
      <c r="G34" s="25">
        <f>F34+'Assumptions - ABC Industries'!G21-'Supp Schedule - ABC Industries'!G51</f>
        <v>223.35749999999999</v>
      </c>
      <c r="H34" s="25">
        <f>G34+'Assumptions - ABC Industries'!H21-'Supp Schedule - ABC Industries'!H51</f>
        <v>221.09137499999997</v>
      </c>
      <c r="I34" s="25">
        <f>H34+'Assumptions - ABC Industries'!I21-'Supp Schedule - ABC Industries'!I51</f>
        <v>216.9511458333333</v>
      </c>
    </row>
    <row r="35" spans="2:10" s="3" customFormat="1" ht="14.25" customHeight="1">
      <c r="B35" s="23" t="s">
        <v>105</v>
      </c>
      <c r="C35" s="24"/>
      <c r="D35" s="24">
        <v>25</v>
      </c>
      <c r="E35" s="25">
        <f>D35</f>
        <v>25</v>
      </c>
      <c r="F35" s="25">
        <f>E35</f>
        <v>25</v>
      </c>
      <c r="G35" s="25">
        <f>F35</f>
        <v>25</v>
      </c>
      <c r="H35" s="25">
        <f>G35</f>
        <v>25</v>
      </c>
      <c r="I35" s="25">
        <f>H35</f>
        <v>25</v>
      </c>
    </row>
    <row r="36" spans="2:10" s="3" customFormat="1" ht="14.25" customHeight="1">
      <c r="B36" s="23" t="s">
        <v>102</v>
      </c>
      <c r="C36" s="25"/>
      <c r="D36" s="24">
        <v>0</v>
      </c>
      <c r="E36" s="25">
        <f>-'Supp Schedule - ABC Industries'!E88</f>
        <v>1.0499999999999949</v>
      </c>
      <c r="F36" s="25">
        <f>-'Supp Schedule - ABC Industries'!F88</f>
        <v>-1.1847675000000049</v>
      </c>
      <c r="G36" s="25">
        <f>-'Supp Schedule - ABC Industries'!G88</f>
        <v>-6.4604974000000057</v>
      </c>
      <c r="H36" s="25">
        <f>-'Supp Schedule - ABC Industries'!H88</f>
        <v>-9.6692859374999998</v>
      </c>
      <c r="I36" s="25">
        <f>-'Supp Schedule - ABC Industries'!I88</f>
        <v>-12.542910807291667</v>
      </c>
    </row>
    <row r="37" spans="2:10" s="3" customFormat="1" ht="14.25" customHeight="1">
      <c r="B37" s="23" t="s">
        <v>30</v>
      </c>
      <c r="C37" s="28"/>
      <c r="D37" s="28">
        <v>0.7</v>
      </c>
      <c r="E37" s="30">
        <f>D37+'Assumptions - ABC Industries'!E18</f>
        <v>0.7</v>
      </c>
      <c r="F37" s="30">
        <f>E37+'Assumptions - ABC Industries'!F18</f>
        <v>0.7</v>
      </c>
      <c r="G37" s="30">
        <f>F37+'Assumptions - ABC Industries'!G18</f>
        <v>0.7</v>
      </c>
      <c r="H37" s="30">
        <f>G37+'Assumptions - ABC Industries'!H18</f>
        <v>0.7</v>
      </c>
      <c r="I37" s="30">
        <f>H37+'Assumptions - ABC Industries'!I18</f>
        <v>0.7</v>
      </c>
      <c r="J37" s="39"/>
    </row>
    <row r="38" spans="2:10" s="164" customFormat="1" ht="14.25" customHeight="1">
      <c r="B38" s="165" t="s">
        <v>121</v>
      </c>
      <c r="C38" s="166"/>
      <c r="D38" s="166">
        <f t="shared" ref="D38:I38" si="9">SUM(D33:D37)</f>
        <v>282.2</v>
      </c>
      <c r="E38" s="167">
        <f t="shared" si="9"/>
        <v>288.32205479452057</v>
      </c>
      <c r="F38" s="167">
        <f t="shared" si="9"/>
        <v>287.77674921232875</v>
      </c>
      <c r="G38" s="167">
        <f t="shared" si="9"/>
        <v>280.8074548246575</v>
      </c>
      <c r="H38" s="167">
        <f t="shared" si="9"/>
        <v>276.5638536663356</v>
      </c>
      <c r="I38" s="167">
        <f t="shared" si="9"/>
        <v>270.61643897944435</v>
      </c>
      <c r="J38" s="168"/>
    </row>
    <row r="40" spans="2:10">
      <c r="B40" s="45" t="s">
        <v>117</v>
      </c>
    </row>
    <row r="41" spans="2:10" s="3" customFormat="1" ht="14.25" customHeight="1">
      <c r="B41" s="23" t="s">
        <v>115</v>
      </c>
      <c r="C41" s="24"/>
      <c r="D41" s="24">
        <v>19</v>
      </c>
      <c r="E41" s="25">
        <f>(E$7+E$11+E10+E9)*'Assumptions - ABC Industries'!E17/365</f>
        <v>20.638356164383563</v>
      </c>
      <c r="F41" s="25">
        <f>(F$7+F$11+F10+F9)*'Assumptions - ABC Industries'!F17/365</f>
        <v>21.156978082191785</v>
      </c>
      <c r="G41" s="25">
        <f>(G$7+G$11+G10+G9)*'Assumptions - ABC Industries'!G17/365</f>
        <v>21.595789479452058</v>
      </c>
      <c r="H41" s="25">
        <f>(H$7+H$11+H10+H9)*'Assumptions - ABC Industries'!H17/365</f>
        <v>21.470443288767129</v>
      </c>
      <c r="I41" s="25">
        <f>(I$7+I$11+I10+I9)*'Assumptions - ABC Industries'!I17/365</f>
        <v>21.57065983351233</v>
      </c>
    </row>
    <row r="42" spans="2:10" s="3" customFormat="1" ht="14.25" customHeight="1">
      <c r="B42" s="23" t="s">
        <v>28</v>
      </c>
      <c r="C42" s="28"/>
      <c r="D42" s="28">
        <v>25</v>
      </c>
      <c r="E42" s="30">
        <f>'Supp Schedule - ABC Industries'!E20</f>
        <v>25</v>
      </c>
      <c r="F42" s="30">
        <f>'Supp Schedule - ABC Industries'!F20</f>
        <v>25</v>
      </c>
      <c r="G42" s="30">
        <f>'Supp Schedule - ABC Industries'!G20</f>
        <v>25</v>
      </c>
      <c r="H42" s="30">
        <f>'Supp Schedule - ABC Industries'!H20</f>
        <v>25</v>
      </c>
      <c r="I42" s="30">
        <f>'Supp Schedule - ABC Industries'!I20</f>
        <v>25</v>
      </c>
      <c r="J42" s="39"/>
    </row>
    <row r="43" spans="2:10" s="19" customFormat="1">
      <c r="B43" s="31" t="s">
        <v>122</v>
      </c>
      <c r="C43" s="32"/>
      <c r="D43" s="32">
        <f t="shared" ref="D43:I43" si="10">SUM(D41:D42)</f>
        <v>44</v>
      </c>
      <c r="E43" s="32">
        <f t="shared" si="10"/>
        <v>45.638356164383566</v>
      </c>
      <c r="F43" s="32">
        <f t="shared" si="10"/>
        <v>46.156978082191785</v>
      </c>
      <c r="G43" s="32">
        <f t="shared" si="10"/>
        <v>46.595789479452058</v>
      </c>
      <c r="H43" s="32">
        <f t="shared" si="10"/>
        <v>46.470443288767129</v>
      </c>
      <c r="I43" s="32">
        <f t="shared" si="10"/>
        <v>46.57065983351233</v>
      </c>
    </row>
    <row r="44" spans="2:10" s="3" customFormat="1" ht="14.25" customHeight="1">
      <c r="B44" s="23" t="s">
        <v>29</v>
      </c>
      <c r="C44" s="24"/>
      <c r="D44" s="24">
        <v>75</v>
      </c>
      <c r="E44" s="25">
        <f>'Supp Schedule - ABC Industries'!E28+'Supp Schedule - ABC Industries'!E36</f>
        <v>79</v>
      </c>
      <c r="F44" s="25">
        <f>'Supp Schedule - ABC Industries'!F28+'Supp Schedule - ABC Industries'!F36</f>
        <v>83.4</v>
      </c>
      <c r="G44" s="25">
        <f>'Supp Schedule - ABC Industries'!G28+'Supp Schedule - ABC Industries'!G36</f>
        <v>88.24</v>
      </c>
      <c r="H44" s="25">
        <f>'Supp Schedule - ABC Industries'!H28+'Supp Schedule - ABC Industries'!H36</f>
        <v>88.24</v>
      </c>
      <c r="I44" s="25">
        <f>'Supp Schedule - ABC Industries'!I28+'Supp Schedule - ABC Industries'!I36</f>
        <v>88.24</v>
      </c>
    </row>
    <row r="45" spans="2:10" s="3" customFormat="1" ht="14.25" customHeight="1">
      <c r="B45" s="23" t="s">
        <v>31</v>
      </c>
      <c r="C45" s="28"/>
      <c r="D45" s="28">
        <v>0.5</v>
      </c>
      <c r="E45" s="30">
        <f>D45-'Assumptions - ABC Industries'!E19</f>
        <v>0.5</v>
      </c>
      <c r="F45" s="30">
        <f>E45-'Assumptions - ABC Industries'!F19</f>
        <v>0.5</v>
      </c>
      <c r="G45" s="30">
        <f>F45-'Assumptions - ABC Industries'!G19</f>
        <v>0.5</v>
      </c>
      <c r="H45" s="30">
        <f>G45-'Assumptions - ABC Industries'!H19</f>
        <v>0.5</v>
      </c>
      <c r="I45" s="30">
        <f>H45-'Assumptions - ABC Industries'!I19</f>
        <v>0.5</v>
      </c>
      <c r="J45" s="39"/>
    </row>
    <row r="46" spans="2:10" s="19" customFormat="1">
      <c r="B46" s="31" t="s">
        <v>124</v>
      </c>
      <c r="C46" s="32"/>
      <c r="D46" s="32">
        <f t="shared" ref="D46:I46" si="11">SUM(D43:D45)</f>
        <v>119.5</v>
      </c>
      <c r="E46" s="32">
        <f t="shared" si="11"/>
        <v>125.13835616438357</v>
      </c>
      <c r="F46" s="32">
        <f t="shared" si="11"/>
        <v>130.05697808219179</v>
      </c>
      <c r="G46" s="32">
        <f t="shared" si="11"/>
        <v>135.33578947945205</v>
      </c>
      <c r="H46" s="32">
        <f t="shared" si="11"/>
        <v>135.21044328876712</v>
      </c>
      <c r="I46" s="32">
        <f t="shared" si="11"/>
        <v>135.31065983351232</v>
      </c>
    </row>
    <row r="47" spans="2:10" ht="6.75" customHeight="1">
      <c r="B47" s="23"/>
      <c r="D47" s="25"/>
    </row>
    <row r="48" spans="2:10" s="19" customFormat="1">
      <c r="B48" s="31" t="s">
        <v>123</v>
      </c>
      <c r="C48" s="43"/>
      <c r="D48" s="32">
        <f>D38-D46</f>
        <v>162.69999999999999</v>
      </c>
      <c r="E48" s="32">
        <f>D48+E23+E67</f>
        <v>156.75</v>
      </c>
      <c r="F48" s="32">
        <f>E48+F23+F67</f>
        <v>156.5002825</v>
      </c>
      <c r="G48" s="32">
        <f>F48+G23+G67</f>
        <v>161.4580666</v>
      </c>
      <c r="H48" s="32">
        <f>G48+H23+H67</f>
        <v>174.63709717899999</v>
      </c>
      <c r="I48" s="32">
        <f>H48+I23+I67</f>
        <v>191.21780004898667</v>
      </c>
    </row>
    <row r="49" spans="1:13" ht="6.75" customHeight="1">
      <c r="B49" s="23"/>
      <c r="D49" s="25"/>
    </row>
    <row r="50" spans="1:13" s="164" customFormat="1" ht="14.25" customHeight="1">
      <c r="B50" s="165" t="s">
        <v>125</v>
      </c>
      <c r="C50" s="166"/>
      <c r="D50" s="166">
        <f t="shared" ref="D50:I50" si="12">D46+D48</f>
        <v>282.2</v>
      </c>
      <c r="E50" s="167">
        <f t="shared" si="12"/>
        <v>281.88835616438359</v>
      </c>
      <c r="F50" s="167">
        <f t="shared" si="12"/>
        <v>286.55726058219182</v>
      </c>
      <c r="G50" s="167">
        <f t="shared" si="12"/>
        <v>296.79385607945204</v>
      </c>
      <c r="H50" s="167">
        <f t="shared" si="12"/>
        <v>309.84754046776709</v>
      </c>
      <c r="I50" s="167">
        <f t="shared" si="12"/>
        <v>326.52845988249896</v>
      </c>
      <c r="J50" s="168"/>
    </row>
    <row r="51" spans="1:13" ht="6.75" customHeight="1">
      <c r="B51" s="23"/>
      <c r="D51" s="25"/>
    </row>
    <row r="52" spans="1:13" s="44" customFormat="1">
      <c r="B52" s="45"/>
      <c r="C52" s="46"/>
      <c r="D52" s="46"/>
      <c r="E52" s="46"/>
      <c r="F52" s="46"/>
      <c r="G52" s="46"/>
      <c r="H52" s="46"/>
      <c r="I52" s="46"/>
    </row>
    <row r="53" spans="1:13" ht="11.45" customHeight="1">
      <c r="A53" s="19"/>
      <c r="B53" s="19" t="s">
        <v>35</v>
      </c>
      <c r="E53" s="22"/>
      <c r="F53" s="46"/>
      <c r="G53" s="46"/>
      <c r="H53" s="46"/>
      <c r="I53" s="46"/>
    </row>
    <row r="54" spans="1:13" s="3" customFormat="1" ht="12.95" customHeight="1">
      <c r="A54" s="19"/>
      <c r="B54" s="21"/>
      <c r="C54" s="4"/>
      <c r="D54" s="5"/>
      <c r="E54" s="6" t="s">
        <v>1</v>
      </c>
      <c r="F54" s="6"/>
      <c r="G54" s="6"/>
      <c r="H54" s="6"/>
      <c r="I54" s="6"/>
    </row>
    <row r="55" spans="1:13" s="7" customFormat="1" ht="12.95" customHeight="1">
      <c r="A55" s="19"/>
      <c r="B55" s="8" t="s">
        <v>64</v>
      </c>
      <c r="C55" s="10"/>
      <c r="D55" s="176">
        <f t="shared" ref="D55:I55" si="13">D$4</f>
        <v>2014</v>
      </c>
      <c r="E55" s="10">
        <f t="shared" si="13"/>
        <v>2015</v>
      </c>
      <c r="F55" s="10">
        <f t="shared" si="13"/>
        <v>2016</v>
      </c>
      <c r="G55" s="10">
        <f t="shared" si="13"/>
        <v>2017</v>
      </c>
      <c r="H55" s="10">
        <f t="shared" si="13"/>
        <v>2018</v>
      </c>
      <c r="I55" s="10">
        <f t="shared" si="13"/>
        <v>2019</v>
      </c>
    </row>
    <row r="56" spans="1:13" s="3" customFormat="1" ht="14.25" customHeight="1" thickBot="1">
      <c r="A56" s="19"/>
      <c r="B56" s="23" t="s">
        <v>7</v>
      </c>
      <c r="D56" s="25">
        <f t="shared" ref="D56:I56" si="14">D12</f>
        <v>37</v>
      </c>
      <c r="E56" s="25">
        <f t="shared" si="14"/>
        <v>36.45000000000001</v>
      </c>
      <c r="F56" s="25">
        <f t="shared" si="14"/>
        <v>44.63505</v>
      </c>
      <c r="G56" s="25">
        <f t="shared" si="14"/>
        <v>52.366014000000007</v>
      </c>
      <c r="H56" s="25">
        <f t="shared" si="14"/>
        <v>62.315556659999999</v>
      </c>
      <c r="I56" s="25">
        <f t="shared" si="14"/>
        <v>69.423002812800021</v>
      </c>
    </row>
    <row r="57" spans="1:13" s="3" customFormat="1" ht="14.25" customHeight="1" thickBot="1">
      <c r="A57" s="1"/>
      <c r="B57" s="23" t="s">
        <v>37</v>
      </c>
      <c r="D57" s="35" t="s">
        <v>14</v>
      </c>
      <c r="E57" s="170">
        <v>0</v>
      </c>
      <c r="F57" s="171">
        <v>0</v>
      </c>
      <c r="G57" s="171">
        <v>0</v>
      </c>
      <c r="H57" s="171">
        <v>0</v>
      </c>
      <c r="I57" s="172">
        <v>0</v>
      </c>
      <c r="J57" s="25"/>
    </row>
    <row r="58" spans="1:13" s="3" customFormat="1" ht="14.25" customHeight="1">
      <c r="A58" s="1"/>
      <c r="B58" s="23" t="s">
        <v>36</v>
      </c>
      <c r="D58" s="35" t="s">
        <v>14</v>
      </c>
      <c r="E58" s="25">
        <f>-('Supp Schedule - ABC Industries'!E21+'Supp Schedule - ABC Industries'!E29+'Supp Schedule - ABC Industries'!E37)</f>
        <v>-4.45</v>
      </c>
      <c r="F58" s="25">
        <f>-('Supp Schedule - ABC Industries'!F21+'Supp Schedule - ABC Industries'!F29+'Supp Schedule - ABC Industries'!F37)</f>
        <v>-4.45</v>
      </c>
      <c r="G58" s="25">
        <f>-('Supp Schedule - ABC Industries'!G21+'Supp Schedule - ABC Industries'!G29+'Supp Schedule - ABC Industries'!G37)</f>
        <v>-4.45</v>
      </c>
      <c r="H58" s="25">
        <f>-('Supp Schedule - ABC Industries'!H21+'Supp Schedule - ABC Industries'!H29+'Supp Schedule - ABC Industries'!H37)</f>
        <v>-9.7740000000000009</v>
      </c>
      <c r="I58" s="25">
        <f>-('Supp Schedule - ABC Industries'!I21+'Supp Schedule - ABC Industries'!I29+'Supp Schedule - ABC Industries'!I37)</f>
        <v>-9.7740000000000009</v>
      </c>
      <c r="J58" s="25"/>
      <c r="K58" s="25"/>
      <c r="L58" s="25"/>
      <c r="M58" s="25"/>
    </row>
    <row r="59" spans="1:13" s="3" customFormat="1" ht="14.25" customHeight="1">
      <c r="B59" s="23" t="s">
        <v>38</v>
      </c>
      <c r="D59" s="35" t="s">
        <v>14</v>
      </c>
      <c r="E59" s="25">
        <f>-'Supp Schedule - ABC Industries'!E77</f>
        <v>0</v>
      </c>
      <c r="F59" s="25">
        <f>-'Supp Schedule - ABC Industries'!F77</f>
        <v>0</v>
      </c>
      <c r="G59" s="25">
        <f>-'Supp Schedule - ABC Industries'!G77</f>
        <v>0</v>
      </c>
      <c r="H59" s="25">
        <f>-'Supp Schedule - ABC Industries'!H77</f>
        <v>-3.8876125435000044</v>
      </c>
      <c r="I59" s="25">
        <f>-'Supp Schedule - ABC Industries'!I77</f>
        <v>-6.0544459063550065</v>
      </c>
      <c r="J59" s="25"/>
    </row>
    <row r="60" spans="1:13" ht="14.25" customHeight="1">
      <c r="A60" s="7"/>
      <c r="B60" s="1" t="s">
        <v>119</v>
      </c>
      <c r="D60" s="35" t="s">
        <v>14</v>
      </c>
      <c r="E60" s="25">
        <f>(D31-E31)+(D32-E32)-(D41-E41)</f>
        <v>1.0663013698630159</v>
      </c>
      <c r="F60" s="25">
        <f>(E31-F31)+(E32-F32)-(E41-F41)</f>
        <v>2.9159999999999187E-2</v>
      </c>
      <c r="G60" s="25">
        <f>(F31-G31)+(F32-G32)-(F41-G41)</f>
        <v>-0.71012411506849737</v>
      </c>
      <c r="H60" s="25">
        <f>(G31-H31)+(G32-H32)-(G41-H41)</f>
        <v>-1.3566585698630167</v>
      </c>
      <c r="I60" s="25">
        <f>(H31-I31)+(H32-I32)-(H41-I41)</f>
        <v>-0.96622280482191769</v>
      </c>
    </row>
    <row r="61" spans="1:13" ht="14.25" customHeight="1">
      <c r="A61" s="7"/>
      <c r="B61" s="1" t="s">
        <v>118</v>
      </c>
      <c r="D61" s="35" t="s">
        <v>14</v>
      </c>
      <c r="E61" s="25">
        <f>(D37-E37)+(D45-E45)</f>
        <v>0</v>
      </c>
      <c r="F61" s="25">
        <f>(E37-F37)+(E45-F45)</f>
        <v>0</v>
      </c>
      <c r="G61" s="25">
        <f>(F37-G37)+(F45-G45)</f>
        <v>0</v>
      </c>
      <c r="H61" s="25">
        <f>(G37-H37)+(G45-H45)</f>
        <v>0</v>
      </c>
      <c r="I61" s="25">
        <f>(H37-I37)+(H45-I45)</f>
        <v>0</v>
      </c>
    </row>
    <row r="62" spans="1:13" ht="14.25" customHeight="1">
      <c r="A62" s="3"/>
      <c r="B62" s="1" t="s">
        <v>24</v>
      </c>
      <c r="D62" s="35" t="s">
        <v>14</v>
      </c>
      <c r="E62" s="25">
        <f>-'Assumptions - ABC Industries'!E21</f>
        <v>-40</v>
      </c>
      <c r="F62" s="25">
        <f>-'Assumptions - ABC Industries'!F21</f>
        <v>-35</v>
      </c>
      <c r="G62" s="25">
        <f>-'Assumptions - ABC Industries'!G21</f>
        <v>-30</v>
      </c>
      <c r="H62" s="25">
        <f>-'Assumptions - ABC Industries'!H21</f>
        <v>-30</v>
      </c>
      <c r="I62" s="25">
        <f>-'Assumptions - ABC Industries'!I21</f>
        <v>-30</v>
      </c>
    </row>
    <row r="63" spans="1:13" ht="14.25" customHeight="1">
      <c r="A63" s="3"/>
      <c r="B63" s="1" t="s">
        <v>39</v>
      </c>
      <c r="D63" s="35" t="s">
        <v>14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</row>
    <row r="64" spans="1:13" s="19" customFormat="1" ht="15" customHeight="1">
      <c r="A64" s="3"/>
      <c r="B64" s="19" t="s">
        <v>47</v>
      </c>
      <c r="D64" s="36" t="s">
        <v>14</v>
      </c>
      <c r="E64" s="37">
        <f>SUM(E56:E63)</f>
        <v>-6.9336986301369734</v>
      </c>
      <c r="F64" s="37">
        <f>SUM(F56:F63)</f>
        <v>5.2142099999999942</v>
      </c>
      <c r="G64" s="37">
        <f>SUM(G56:G63)</f>
        <v>17.205889884931509</v>
      </c>
      <c r="H64" s="37">
        <f>SUM(H56:H63)</f>
        <v>17.297285546636978</v>
      </c>
      <c r="I64" s="37">
        <f>SUM(I56:I63)</f>
        <v>22.628334101623096</v>
      </c>
    </row>
    <row r="65" spans="1:10" ht="4.5" customHeight="1">
      <c r="A65" s="3"/>
    </row>
    <row r="66" spans="1:10">
      <c r="B66" s="1" t="s">
        <v>40</v>
      </c>
      <c r="D66" s="35"/>
    </row>
    <row r="67" spans="1:10">
      <c r="B67" s="1" t="s">
        <v>42</v>
      </c>
      <c r="D67" s="35" t="s">
        <v>14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</row>
    <row r="68" spans="1:10">
      <c r="B68" s="1" t="s">
        <v>41</v>
      </c>
      <c r="D68" s="35" t="s">
        <v>14</v>
      </c>
      <c r="E68" s="38">
        <f>'Supp Schedule - ABC Industries'!E19+'Supp Schedule - ABC Industries'!E26+'Supp Schedule - ABC Industries'!E27</f>
        <v>0</v>
      </c>
      <c r="F68" s="38">
        <f>'Supp Schedule - ABC Industries'!F19+'Supp Schedule - ABC Industries'!F26+'Supp Schedule - ABC Industries'!F27</f>
        <v>0</v>
      </c>
      <c r="G68" s="38">
        <f>'Supp Schedule - ABC Industries'!G19+'Supp Schedule - ABC Industries'!G26+'Supp Schedule - ABC Industries'!G27</f>
        <v>0</v>
      </c>
      <c r="H68" s="38">
        <f>'Supp Schedule - ABC Industries'!H19+'Supp Schedule - ABC Industries'!H26+'Supp Schedule - ABC Industries'!H27</f>
        <v>0</v>
      </c>
      <c r="I68" s="38">
        <f>'Supp Schedule - ABC Industries'!I19+'Supp Schedule - ABC Industries'!I26+'Supp Schedule - ABC Industries'!I27</f>
        <v>0</v>
      </c>
    </row>
    <row r="69" spans="1:10">
      <c r="A69" s="19"/>
      <c r="B69" s="1" t="s">
        <v>43</v>
      </c>
      <c r="D69" s="35" t="s">
        <v>14</v>
      </c>
      <c r="E69" s="15">
        <f>SUM(E67:E68)</f>
        <v>0</v>
      </c>
      <c r="F69" s="15">
        <f>SUM(F67:F68)</f>
        <v>0</v>
      </c>
      <c r="G69" s="15">
        <f>SUM(G67:G68)</f>
        <v>0</v>
      </c>
      <c r="H69" s="15">
        <f>SUM(H67:H68)</f>
        <v>0</v>
      </c>
      <c r="I69" s="15">
        <f>SUM(I67:I68)</f>
        <v>0</v>
      </c>
    </row>
    <row r="70" spans="1:10" ht="4.5" customHeight="1"/>
    <row r="71" spans="1:10" s="19" customFormat="1">
      <c r="A71" s="1"/>
      <c r="B71" s="19" t="s">
        <v>44</v>
      </c>
      <c r="D71" s="36" t="s">
        <v>14</v>
      </c>
      <c r="E71" s="65">
        <f>E64+E69</f>
        <v>-6.9336986301369734</v>
      </c>
      <c r="F71" s="65">
        <f>F64+F69</f>
        <v>5.2142099999999942</v>
      </c>
      <c r="G71" s="65">
        <f>G64+G69</f>
        <v>17.205889884931509</v>
      </c>
      <c r="H71" s="65">
        <f>H64+H69</f>
        <v>17.297285546636978</v>
      </c>
      <c r="I71" s="65">
        <f>I64+I69</f>
        <v>22.628334101623096</v>
      </c>
    </row>
    <row r="72" spans="1:10" ht="4.5" customHeight="1"/>
    <row r="73" spans="1:10">
      <c r="B73" s="1" t="s">
        <v>45</v>
      </c>
      <c r="D73" s="35" t="s">
        <v>14</v>
      </c>
      <c r="E73" s="15">
        <f>D30</f>
        <v>0.5</v>
      </c>
      <c r="F73" s="15">
        <f>E30</f>
        <v>0</v>
      </c>
      <c r="G73" s="15">
        <f>F30</f>
        <v>0</v>
      </c>
      <c r="H73" s="15">
        <f>G30</f>
        <v>0</v>
      </c>
      <c r="I73" s="15">
        <f>H30</f>
        <v>0</v>
      </c>
    </row>
    <row r="74" spans="1:10">
      <c r="B74" s="1" t="s">
        <v>46</v>
      </c>
      <c r="D74" s="35" t="s">
        <v>14</v>
      </c>
      <c r="E74" s="64">
        <f>E71+E73</f>
        <v>-6.4336986301369734</v>
      </c>
      <c r="F74" s="64">
        <f>F71+F73</f>
        <v>5.2142099999999942</v>
      </c>
      <c r="G74" s="64">
        <f>G71+G73</f>
        <v>17.205889884931509</v>
      </c>
      <c r="H74" s="64">
        <f>H71+H73</f>
        <v>17.297285546636978</v>
      </c>
      <c r="I74" s="64">
        <f>I71+I73</f>
        <v>22.628334101623096</v>
      </c>
    </row>
    <row r="77" spans="1:10" ht="12.75">
      <c r="A77" s="19"/>
      <c r="B77" s="19"/>
      <c r="C77"/>
      <c r="D77"/>
      <c r="E77" s="22"/>
      <c r="F77" s="46"/>
      <c r="G77" s="46"/>
      <c r="H77" s="46"/>
      <c r="I77" s="46"/>
    </row>
    <row r="78" spans="1:10" s="3" customFormat="1" ht="14.25" customHeight="1">
      <c r="B78" s="23"/>
      <c r="D78" s="35"/>
      <c r="E78" s="25"/>
      <c r="F78" s="25"/>
      <c r="G78" s="25"/>
      <c r="H78" s="25"/>
      <c r="I78" s="25"/>
      <c r="J78" s="25"/>
    </row>
    <row r="79" spans="1:10" s="3" customFormat="1" ht="14.25" customHeight="1">
      <c r="B79" s="23"/>
      <c r="D79" s="35"/>
      <c r="E79" s="25"/>
      <c r="F79" s="25"/>
      <c r="G79" s="25"/>
      <c r="H79" s="25"/>
      <c r="I79" s="25"/>
      <c r="J79" s="25"/>
    </row>
    <row r="80" spans="1:10" s="3" customFormat="1" ht="14.25" customHeight="1">
      <c r="B80" s="23"/>
      <c r="D80" s="35"/>
      <c r="E80" s="25"/>
      <c r="F80" s="25"/>
      <c r="G80" s="25"/>
      <c r="H80" s="25"/>
      <c r="I80" s="25"/>
      <c r="J80" s="25"/>
    </row>
    <row r="81" spans="1:10" s="3" customFormat="1" ht="14.25" customHeight="1">
      <c r="B81" s="23"/>
      <c r="D81" s="35"/>
      <c r="E81" s="25"/>
      <c r="F81" s="25"/>
      <c r="G81" s="25"/>
      <c r="H81" s="25"/>
      <c r="I81" s="25"/>
      <c r="J81" s="25"/>
    </row>
    <row r="82" spans="1:10" s="3" customFormat="1" ht="14.25" customHeight="1">
      <c r="B82" s="23"/>
      <c r="D82" s="35"/>
      <c r="E82" s="25"/>
      <c r="F82" s="25"/>
      <c r="G82" s="25"/>
      <c r="H82" s="25"/>
      <c r="I82" s="25"/>
      <c r="J82" s="25"/>
    </row>
    <row r="83" spans="1:10" s="3" customFormat="1" ht="14.25" customHeight="1">
      <c r="B83" s="23"/>
      <c r="D83" s="35"/>
      <c r="E83" s="25"/>
      <c r="F83" s="25"/>
      <c r="G83" s="25"/>
      <c r="H83" s="25"/>
      <c r="I83" s="25"/>
      <c r="J83" s="25"/>
    </row>
    <row r="84" spans="1:10" ht="14.25" customHeight="1">
      <c r="A84" s="3"/>
      <c r="D84" s="35"/>
      <c r="E84" s="49"/>
      <c r="F84" s="49"/>
      <c r="G84" s="49"/>
      <c r="H84" s="49"/>
      <c r="I84" s="49"/>
    </row>
    <row r="85" spans="1:10" s="19" customFormat="1" ht="15" customHeight="1">
      <c r="A85" s="3"/>
      <c r="D85" s="36"/>
      <c r="E85" s="37"/>
      <c r="F85" s="37"/>
      <c r="G85" s="37"/>
      <c r="H85" s="37"/>
      <c r="I85" s="37"/>
    </row>
    <row r="86" spans="1:10" ht="4.5" customHeight="1">
      <c r="A86" s="3"/>
    </row>
    <row r="87" spans="1:10">
      <c r="D87" s="35"/>
    </row>
    <row r="88" spans="1:10">
      <c r="D88" s="35"/>
      <c r="E88" s="22"/>
      <c r="F88" s="22"/>
      <c r="G88" s="22"/>
      <c r="H88" s="22"/>
      <c r="I88" s="22"/>
    </row>
    <row r="89" spans="1:10">
      <c r="D89" s="35"/>
      <c r="E89" s="38"/>
      <c r="F89" s="38"/>
      <c r="G89" s="38"/>
      <c r="H89" s="38"/>
      <c r="I89" s="38"/>
    </row>
    <row r="90" spans="1:10">
      <c r="A90" s="19"/>
      <c r="D90" s="35"/>
      <c r="E90" s="15"/>
      <c r="F90" s="15"/>
      <c r="G90" s="15"/>
      <c r="H90" s="15"/>
      <c r="I90" s="15"/>
    </row>
    <row r="91" spans="1:10" ht="4.5" customHeight="1"/>
    <row r="92" spans="1:10" s="19" customFormat="1">
      <c r="A92" s="1"/>
      <c r="D92" s="36"/>
      <c r="E92" s="65"/>
      <c r="F92" s="65"/>
      <c r="G92" s="65"/>
      <c r="H92" s="65"/>
      <c r="I92" s="65"/>
    </row>
    <row r="93" spans="1:10" ht="4.5" customHeight="1"/>
    <row r="94" spans="1:10">
      <c r="D94" s="35"/>
      <c r="E94" s="15"/>
      <c r="F94" s="15"/>
      <c r="G94" s="15"/>
      <c r="H94" s="15"/>
      <c r="I94" s="15"/>
    </row>
    <row r="95" spans="1:10">
      <c r="D95" s="35"/>
      <c r="E95" s="64"/>
      <c r="F95" s="64"/>
      <c r="G95" s="64"/>
      <c r="H95" s="64"/>
      <c r="I95" s="64"/>
    </row>
  </sheetData>
  <phoneticPr fontId="0" type="noConversion"/>
  <pageMargins left="0.74803149606299213" right="0.74803149606299213" top="0.39370078740157483" bottom="0.39370078740157483" header="0.51181102362204722" footer="0.51181102362204722"/>
  <pageSetup paperSize="9" scale="82" orientation="landscape" r:id="rId1"/>
  <headerFooter alignWithMargins="0"/>
  <rowBreaks count="1" manualBreakCount="1">
    <brk id="5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05"/>
  <sheetViews>
    <sheetView showGridLines="0" tabSelected="1" view="pageBreakPreview" zoomScaleNormal="100" zoomScaleSheetLayoutView="100" workbookViewId="0">
      <pane ySplit="1" topLeftCell="A26" activePane="bottomLeft" state="frozen"/>
      <selection pane="bottomLeft" activeCell="G39" sqref="G39"/>
    </sheetView>
  </sheetViews>
  <sheetFormatPr defaultColWidth="9.140625" defaultRowHeight="11.25"/>
  <cols>
    <col min="1" max="1" width="3.5703125" style="44" customWidth="1"/>
    <col min="2" max="2" width="27.5703125" style="44" customWidth="1"/>
    <col min="3" max="3" width="8.140625" style="44" bestFit="1" customWidth="1"/>
    <col min="4" max="9" width="9.85546875" style="44" customWidth="1"/>
    <col min="10" max="16384" width="9.140625" style="44"/>
  </cols>
  <sheetData>
    <row r="1" spans="1:38" ht="13.5" thickBot="1">
      <c r="B1" s="52" t="s">
        <v>80</v>
      </c>
      <c r="C1" s="53"/>
      <c r="D1" s="53"/>
      <c r="E1" s="53"/>
      <c r="F1" s="53"/>
      <c r="G1" s="53"/>
      <c r="H1" s="53"/>
      <c r="I1" s="54"/>
    </row>
    <row r="2" spans="1:38" ht="11.45" customHeight="1" thickBot="1">
      <c r="A2" s="173"/>
      <c r="B2" s="174" t="s">
        <v>48</v>
      </c>
      <c r="C2" s="174"/>
      <c r="D2" s="174"/>
      <c r="E2" s="175"/>
      <c r="F2" s="55"/>
      <c r="G2" s="55"/>
      <c r="H2" s="55"/>
      <c r="I2" s="55"/>
    </row>
    <row r="3" spans="1:38" s="56" customFormat="1" ht="12.95" customHeight="1">
      <c r="A3" s="44"/>
      <c r="B3" s="57"/>
      <c r="C3" s="58"/>
      <c r="D3" s="59"/>
      <c r="E3" s="60" t="s">
        <v>1</v>
      </c>
      <c r="F3" s="60"/>
      <c r="G3" s="60"/>
      <c r="H3" s="60"/>
      <c r="I3" s="60"/>
    </row>
    <row r="4" spans="1:38" s="61" customFormat="1" ht="12.95" customHeight="1">
      <c r="A4" s="44"/>
      <c r="B4" s="62" t="s">
        <v>64</v>
      </c>
      <c r="C4" s="63"/>
      <c r="D4" s="63"/>
      <c r="E4" s="63">
        <f>'Financials  - ABC Industries'!E$4</f>
        <v>2015</v>
      </c>
      <c r="F4" s="63">
        <f>'Financials  - ABC Industries'!F$4</f>
        <v>2016</v>
      </c>
      <c r="G4" s="63">
        <f>'Financials  - ABC Industries'!G$4</f>
        <v>2017</v>
      </c>
      <c r="H4" s="63">
        <f>'Financials  - ABC Industries'!H$4</f>
        <v>2018</v>
      </c>
      <c r="I4" s="63">
        <f>'Financials  - ABC Industries'!I$4</f>
        <v>2019</v>
      </c>
    </row>
    <row r="5" spans="1:38" s="73" customFormat="1">
      <c r="A5" s="44"/>
      <c r="B5" s="68"/>
      <c r="C5" s="69"/>
      <c r="D5" s="69"/>
      <c r="E5" s="69"/>
      <c r="F5" s="69"/>
      <c r="G5" s="69"/>
      <c r="H5" s="70"/>
      <c r="I5" s="70"/>
      <c r="J5" s="97"/>
      <c r="K5" s="97"/>
      <c r="L5" s="97"/>
      <c r="M5" s="97"/>
      <c r="N5" s="98"/>
      <c r="O5" s="98"/>
      <c r="P5" s="98"/>
      <c r="Q5" s="72"/>
      <c r="R5" s="72"/>
      <c r="S5" s="72"/>
      <c r="T5" s="72"/>
      <c r="U5" s="72"/>
      <c r="V5" s="72"/>
      <c r="W5" s="72"/>
    </row>
    <row r="6" spans="1:38" s="74" customFormat="1" ht="12" customHeight="1">
      <c r="A6" s="44"/>
      <c r="B6" s="68" t="s">
        <v>49</v>
      </c>
      <c r="C6" s="69"/>
      <c r="D6" s="69"/>
      <c r="E6" s="47">
        <f>'Financials  - ABC Industries'!D30</f>
        <v>0.5</v>
      </c>
      <c r="F6" s="47">
        <f>E13</f>
        <v>-6.4336986301369734</v>
      </c>
      <c r="G6" s="47">
        <f>F13</f>
        <v>5.2142099999999942</v>
      </c>
      <c r="H6" s="47">
        <f>G13</f>
        <v>17.205889884931509</v>
      </c>
      <c r="I6" s="47">
        <f>H13</f>
        <v>17.297285546636978</v>
      </c>
      <c r="J6" s="99"/>
      <c r="K6" s="98"/>
      <c r="L6" s="71"/>
      <c r="M6" s="71"/>
      <c r="N6" s="71"/>
      <c r="O6" s="71"/>
      <c r="P6" s="71"/>
      <c r="Q6" s="71"/>
      <c r="R6" s="71"/>
    </row>
    <row r="7" spans="1:38" s="74" customFormat="1" ht="12" customHeight="1" thickBot="1">
      <c r="A7" s="44"/>
      <c r="B7" s="68" t="s">
        <v>50</v>
      </c>
      <c r="C7" s="69"/>
      <c r="D7" s="69"/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99"/>
      <c r="K7" s="98"/>
      <c r="L7" s="71"/>
      <c r="M7" s="71"/>
      <c r="N7" s="71"/>
      <c r="O7" s="71"/>
      <c r="P7" s="71"/>
      <c r="Q7" s="71"/>
      <c r="R7" s="71"/>
    </row>
    <row r="8" spans="1:38" s="74" customFormat="1" ht="12" customHeight="1" thickBot="1">
      <c r="A8" s="56"/>
      <c r="B8" s="68" t="s">
        <v>51</v>
      </c>
      <c r="C8" s="69"/>
      <c r="D8" s="69"/>
      <c r="E8" s="170">
        <v>0</v>
      </c>
      <c r="F8" s="171">
        <v>0</v>
      </c>
      <c r="G8" s="171">
        <v>0</v>
      </c>
      <c r="H8" s="171">
        <v>0</v>
      </c>
      <c r="I8" s="172">
        <v>0</v>
      </c>
      <c r="J8" s="99"/>
      <c r="K8" s="98"/>
      <c r="L8" s="71"/>
      <c r="M8" s="71"/>
      <c r="N8" s="71"/>
      <c r="O8" s="71"/>
      <c r="P8" s="71"/>
      <c r="Q8" s="71"/>
      <c r="R8" s="71"/>
    </row>
    <row r="9" spans="1:38" s="74" customFormat="1" ht="12" customHeight="1">
      <c r="A9" s="61"/>
      <c r="B9" s="68" t="s">
        <v>52</v>
      </c>
      <c r="C9" s="69"/>
      <c r="D9" s="69"/>
      <c r="E9" s="75">
        <f>E26+E34</f>
        <v>0</v>
      </c>
      <c r="F9" s="75">
        <f>F26+F34</f>
        <v>0</v>
      </c>
      <c r="G9" s="75">
        <f>G26+G34</f>
        <v>0</v>
      </c>
      <c r="H9" s="75">
        <f>H26+H34</f>
        <v>0</v>
      </c>
      <c r="I9" s="75">
        <f>I26+I34</f>
        <v>0</v>
      </c>
      <c r="J9" s="99"/>
      <c r="K9" s="98"/>
      <c r="L9" s="71"/>
      <c r="M9" s="71"/>
      <c r="N9" s="71"/>
      <c r="O9" s="71"/>
      <c r="P9" s="71"/>
      <c r="Q9" s="71"/>
      <c r="R9" s="71"/>
    </row>
    <row r="10" spans="1:38" s="74" customFormat="1" ht="15.6" customHeight="1">
      <c r="A10" s="72"/>
      <c r="B10" s="76" t="s">
        <v>53</v>
      </c>
      <c r="C10" s="76"/>
      <c r="D10" s="69"/>
      <c r="E10" s="77">
        <f>SUM(E6:E9)</f>
        <v>0.5</v>
      </c>
      <c r="F10" s="77">
        <f>SUM(F6:F9)</f>
        <v>-6.4336986301369734</v>
      </c>
      <c r="G10" s="77">
        <f>SUM(G6:G9)</f>
        <v>5.2142099999999942</v>
      </c>
      <c r="H10" s="77">
        <f>SUM(H6:H9)</f>
        <v>17.205889884931509</v>
      </c>
      <c r="I10" s="77">
        <f>SUM(I6:I9)</f>
        <v>17.297285546636978</v>
      </c>
      <c r="J10" s="98"/>
      <c r="K10" s="71"/>
      <c r="L10" s="71"/>
      <c r="M10" s="71"/>
      <c r="N10" s="71"/>
      <c r="O10" s="71"/>
      <c r="P10" s="71"/>
      <c r="Q10" s="71"/>
    </row>
    <row r="11" spans="1:38" s="105" customFormat="1" ht="12" customHeight="1">
      <c r="A11" s="71"/>
      <c r="B11" s="68" t="s">
        <v>63</v>
      </c>
      <c r="C11" s="78"/>
      <c r="D11" s="78"/>
      <c r="E11" s="101">
        <v>0.03</v>
      </c>
      <c r="F11" s="102"/>
      <c r="G11" s="102"/>
      <c r="H11" s="78"/>
      <c r="I11" s="78"/>
      <c r="J11" s="103"/>
      <c r="K11" s="98"/>
      <c r="L11" s="104"/>
      <c r="M11" s="104"/>
      <c r="N11" s="104"/>
      <c r="O11" s="104"/>
      <c r="P11" s="104"/>
      <c r="Q11" s="104"/>
      <c r="R11" s="10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</row>
    <row r="12" spans="1:38" s="105" customFormat="1" ht="15.6" customHeight="1">
      <c r="A12" s="71"/>
      <c r="B12" s="68" t="s">
        <v>45</v>
      </c>
      <c r="C12" s="78"/>
      <c r="D12" s="78"/>
      <c r="E12" s="47">
        <f>E6</f>
        <v>0.5</v>
      </c>
      <c r="F12" s="47">
        <f>F6</f>
        <v>-6.4336986301369734</v>
      </c>
      <c r="G12" s="47">
        <f>G6</f>
        <v>5.2142099999999942</v>
      </c>
      <c r="H12" s="47">
        <f>H6</f>
        <v>17.205889884931509</v>
      </c>
      <c r="I12" s="47">
        <f>I6</f>
        <v>17.297285546636978</v>
      </c>
      <c r="J12" s="99"/>
      <c r="K12" s="98"/>
      <c r="L12" s="104"/>
      <c r="M12" s="104"/>
      <c r="N12" s="104"/>
      <c r="O12" s="104"/>
      <c r="P12" s="104"/>
      <c r="Q12" s="104"/>
      <c r="R12" s="10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</row>
    <row r="13" spans="1:38">
      <c r="A13" s="71"/>
      <c r="B13" s="44" t="s">
        <v>46</v>
      </c>
      <c r="D13" s="66"/>
      <c r="E13" s="67">
        <f>'Financials  - ABC Industries'!E74</f>
        <v>-6.4336986301369734</v>
      </c>
      <c r="F13" s="67">
        <f>'Financials  - ABC Industries'!F74</f>
        <v>5.2142099999999942</v>
      </c>
      <c r="G13" s="67">
        <f>'Financials  - ABC Industries'!G74</f>
        <v>17.205889884931509</v>
      </c>
      <c r="H13" s="67">
        <f>'Financials  - ABC Industries'!H74</f>
        <v>17.297285546636978</v>
      </c>
      <c r="I13" s="67">
        <f>'Financials  - ABC Industries'!I74</f>
        <v>22.628334101623096</v>
      </c>
    </row>
    <row r="14" spans="1:38" s="108" customFormat="1" ht="19.5" customHeight="1">
      <c r="A14" s="71"/>
      <c r="B14" s="79" t="str">
        <f>"Interest Income @ " &amp; TEXT(E11,"0.00%")</f>
        <v>Interest Income @ 3.00%</v>
      </c>
      <c r="C14" s="80"/>
      <c r="D14" s="106"/>
      <c r="E14" s="81">
        <f>AVERAGE(E12:E13)*$E$11</f>
        <v>-8.9005479452054601E-2</v>
      </c>
      <c r="F14" s="81">
        <f>AVERAGE(F12:F13)*$E$11</f>
        <v>-1.8292329452054688E-2</v>
      </c>
      <c r="G14" s="81">
        <f>AVERAGE(G12:G13)*$E$11</f>
        <v>0.33630149827397254</v>
      </c>
      <c r="H14" s="81">
        <f>AVERAGE(H12:H13)*$E$11</f>
        <v>0.51754763147352723</v>
      </c>
      <c r="I14" s="81">
        <f>AVERAGE(I12:I13)*$E$11</f>
        <v>0.59888429472390114</v>
      </c>
      <c r="J14" s="107"/>
      <c r="K14" s="107"/>
      <c r="L14" s="107"/>
      <c r="M14" s="107"/>
      <c r="N14" s="107"/>
      <c r="O14" s="107"/>
      <c r="P14" s="107"/>
      <c r="Q14" s="107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8" s="74" customFormat="1" ht="7.5" customHeight="1">
      <c r="A15" s="71"/>
      <c r="B15" s="76"/>
      <c r="C15" s="76"/>
      <c r="D15" s="69"/>
      <c r="E15" s="77"/>
      <c r="F15" s="77"/>
      <c r="G15" s="77"/>
      <c r="H15" s="77"/>
      <c r="I15" s="77"/>
      <c r="J15" s="98"/>
      <c r="K15" s="71"/>
      <c r="L15" s="71"/>
      <c r="M15" s="71"/>
      <c r="N15" s="71"/>
      <c r="O15" s="71"/>
      <c r="P15" s="71"/>
      <c r="Q15" s="71"/>
    </row>
    <row r="16" spans="1:38" s="105" customFormat="1" ht="15.6" customHeight="1">
      <c r="A16" s="104"/>
      <c r="B16" s="82" t="s">
        <v>54</v>
      </c>
      <c r="C16" s="109"/>
      <c r="D16" s="109"/>
      <c r="E16" s="110"/>
      <c r="F16" s="111"/>
      <c r="G16" s="111"/>
      <c r="H16" s="69"/>
      <c r="I16" s="69"/>
      <c r="J16" s="112"/>
      <c r="K16" s="98"/>
      <c r="L16" s="104"/>
      <c r="M16" s="104"/>
      <c r="N16" s="104"/>
      <c r="O16" s="104"/>
      <c r="P16" s="104"/>
      <c r="Q16" s="104"/>
      <c r="R16" s="10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</row>
    <row r="17" spans="1:38" s="105" customFormat="1" ht="12" customHeight="1">
      <c r="A17" s="104"/>
      <c r="B17" s="68" t="s">
        <v>55</v>
      </c>
      <c r="C17" s="78"/>
      <c r="D17" s="78"/>
      <c r="E17" s="101">
        <v>0.08</v>
      </c>
      <c r="F17" s="102"/>
      <c r="G17" s="102"/>
      <c r="H17" s="78"/>
      <c r="I17" s="78"/>
      <c r="J17" s="103"/>
      <c r="K17" s="98"/>
      <c r="L17" s="104"/>
      <c r="M17" s="104"/>
      <c r="N17" s="104"/>
      <c r="O17" s="104"/>
      <c r="P17" s="104"/>
      <c r="Q17" s="104"/>
      <c r="R17" s="10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</row>
    <row r="18" spans="1:38" s="105" customFormat="1" ht="15.6" customHeight="1" thickBot="1">
      <c r="A18" s="44"/>
      <c r="B18" s="68" t="s">
        <v>56</v>
      </c>
      <c r="C18" s="78"/>
      <c r="D18" s="78"/>
      <c r="E18" s="47">
        <f>'Financials  - ABC Industries'!D42</f>
        <v>25</v>
      </c>
      <c r="F18" s="47">
        <f>E20</f>
        <v>25</v>
      </c>
      <c r="G18" s="47">
        <f>F20</f>
        <v>25</v>
      </c>
      <c r="H18" s="47">
        <f>G20</f>
        <v>25</v>
      </c>
      <c r="I18" s="47">
        <f>H20</f>
        <v>25</v>
      </c>
      <c r="J18" s="99"/>
      <c r="K18" s="98"/>
      <c r="L18" s="104"/>
      <c r="M18" s="104"/>
      <c r="N18" s="104"/>
      <c r="O18" s="104"/>
      <c r="P18" s="104"/>
      <c r="Q18" s="104"/>
      <c r="R18" s="10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</row>
    <row r="19" spans="1:38" s="105" customFormat="1" ht="12" customHeight="1" thickBot="1">
      <c r="A19" s="107"/>
      <c r="B19" s="68" t="s">
        <v>57</v>
      </c>
      <c r="C19" s="78"/>
      <c r="D19" s="78"/>
      <c r="E19" s="170">
        <v>0</v>
      </c>
      <c r="F19" s="171">
        <v>0</v>
      </c>
      <c r="G19" s="171">
        <v>0</v>
      </c>
      <c r="H19" s="171">
        <v>0</v>
      </c>
      <c r="I19" s="172">
        <v>0</v>
      </c>
      <c r="J19" s="99"/>
      <c r="K19" s="98"/>
      <c r="L19" s="47"/>
      <c r="M19" s="47"/>
      <c r="N19" s="47"/>
      <c r="O19" s="47"/>
      <c r="P19" s="47"/>
      <c r="Q19" s="47"/>
      <c r="R19" s="47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</row>
    <row r="20" spans="1:38" s="105" customFormat="1" ht="15.6" customHeight="1">
      <c r="A20" s="71"/>
      <c r="B20" s="84" t="s">
        <v>58</v>
      </c>
      <c r="C20" s="84"/>
      <c r="D20" s="111"/>
      <c r="E20" s="77">
        <f>SUM(E18:E19)</f>
        <v>25</v>
      </c>
      <c r="F20" s="77">
        <f>SUM(F18:F19)</f>
        <v>25</v>
      </c>
      <c r="G20" s="77">
        <f>SUM(G18:G19)</f>
        <v>25</v>
      </c>
      <c r="H20" s="77">
        <f>SUM(H18:H19)</f>
        <v>25</v>
      </c>
      <c r="I20" s="77">
        <f>SUM(I18:I19)</f>
        <v>25</v>
      </c>
      <c r="J20" s="98"/>
      <c r="K20" s="104"/>
      <c r="L20" s="104"/>
      <c r="M20" s="104"/>
      <c r="N20" s="104"/>
      <c r="O20" s="104"/>
      <c r="P20" s="104"/>
      <c r="Q20" s="10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8" s="108" customFormat="1" ht="19.5" customHeight="1">
      <c r="A21" s="104"/>
      <c r="B21" s="79" t="str">
        <f>"Interest Expense @ " &amp; TEXT(E17,"0.00%")</f>
        <v>Interest Expense @ 8.00%</v>
      </c>
      <c r="C21" s="80"/>
      <c r="D21" s="106"/>
      <c r="E21" s="81">
        <f>AVERAGE(E18,E20)*$E$17</f>
        <v>2</v>
      </c>
      <c r="F21" s="81">
        <f>AVERAGE(F18,F20)*$E$17</f>
        <v>2</v>
      </c>
      <c r="G21" s="81">
        <f>AVERAGE(G18,G20)*$E$17</f>
        <v>2</v>
      </c>
      <c r="H21" s="81">
        <f>AVERAGE(H18,H20)*$E$17</f>
        <v>2</v>
      </c>
      <c r="I21" s="81">
        <f>AVERAGE(I18,I20)*$E$17</f>
        <v>2</v>
      </c>
      <c r="J21" s="107"/>
      <c r="K21" s="107"/>
      <c r="L21" s="107"/>
      <c r="M21" s="107"/>
      <c r="N21" s="107"/>
      <c r="O21" s="107"/>
      <c r="P21" s="107"/>
      <c r="Q21" s="107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38" s="74" customFormat="1" ht="19.5" customHeight="1">
      <c r="A22" s="104"/>
      <c r="B22" s="85" t="s">
        <v>59</v>
      </c>
      <c r="C22" s="79"/>
      <c r="D22" s="79"/>
      <c r="E22" s="81">
        <f>E10+E19</f>
        <v>0.5</v>
      </c>
      <c r="F22" s="81">
        <f>F10+F19</f>
        <v>-6.4336986301369734</v>
      </c>
      <c r="G22" s="81">
        <f>G10+G19</f>
        <v>5.2142099999999942</v>
      </c>
      <c r="H22" s="81">
        <f>H10+H19</f>
        <v>17.205889884931509</v>
      </c>
      <c r="I22" s="81">
        <f>I10+I19</f>
        <v>17.297285546636978</v>
      </c>
      <c r="J22" s="113"/>
      <c r="K22" s="98"/>
      <c r="L22" s="71"/>
      <c r="M22" s="71"/>
      <c r="N22" s="71"/>
      <c r="O22" s="71"/>
      <c r="P22" s="71"/>
      <c r="Q22" s="71"/>
      <c r="R22" s="71"/>
    </row>
    <row r="23" spans="1:38" s="74" customFormat="1" ht="15.6" customHeight="1">
      <c r="A23" s="104"/>
      <c r="B23" s="82" t="s">
        <v>62</v>
      </c>
      <c r="C23" s="83"/>
      <c r="D23" s="83"/>
      <c r="E23" s="69"/>
      <c r="F23" s="69"/>
      <c r="G23" s="69"/>
      <c r="H23" s="69"/>
      <c r="I23" s="69"/>
      <c r="J23" s="112"/>
      <c r="K23" s="98"/>
      <c r="L23" s="71"/>
      <c r="M23" s="71"/>
      <c r="N23" s="71"/>
      <c r="O23" s="71"/>
      <c r="P23" s="71"/>
      <c r="Q23" s="71"/>
      <c r="R23" s="71"/>
    </row>
    <row r="24" spans="1:38" s="105" customFormat="1" ht="12" customHeight="1">
      <c r="A24" s="104"/>
      <c r="B24" s="68" t="s">
        <v>55</v>
      </c>
      <c r="C24" s="78"/>
      <c r="D24" s="78"/>
      <c r="E24" s="101">
        <v>7.0000000000000007E-2</v>
      </c>
      <c r="F24" s="102"/>
      <c r="G24" s="102"/>
      <c r="H24" s="78"/>
      <c r="I24" s="78"/>
      <c r="J24" s="103"/>
      <c r="K24" s="98"/>
      <c r="L24" s="104"/>
      <c r="M24" s="104"/>
      <c r="N24" s="104"/>
      <c r="O24" s="104"/>
      <c r="P24" s="104"/>
      <c r="Q24" s="104"/>
      <c r="R24" s="10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</row>
    <row r="25" spans="1:38" s="74" customFormat="1" ht="15.6" customHeight="1">
      <c r="A25" s="104"/>
      <c r="B25" s="68" t="s">
        <v>56</v>
      </c>
      <c r="C25" s="78"/>
      <c r="D25" s="78"/>
      <c r="E25" s="47">
        <f>'Financials  - ABC Industries'!D44-E32</f>
        <v>35</v>
      </c>
      <c r="F25" s="47">
        <f>E28</f>
        <v>35</v>
      </c>
      <c r="G25" s="47">
        <f>F28</f>
        <v>35</v>
      </c>
      <c r="H25" s="47">
        <f>G28</f>
        <v>35</v>
      </c>
      <c r="I25" s="47">
        <f>H28</f>
        <v>35</v>
      </c>
      <c r="J25" s="99"/>
      <c r="K25" s="98"/>
      <c r="L25" s="71"/>
      <c r="M25" s="71"/>
      <c r="N25" s="71"/>
      <c r="O25" s="71"/>
      <c r="P25" s="71"/>
      <c r="Q25" s="71"/>
      <c r="R25" s="71"/>
    </row>
    <row r="26" spans="1:38" s="74" customFormat="1" ht="12" customHeight="1">
      <c r="A26" s="107"/>
      <c r="B26" s="68" t="s">
        <v>60</v>
      </c>
      <c r="C26" s="78"/>
      <c r="D26" s="78"/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71"/>
      <c r="K26" s="71"/>
      <c r="L26" s="71"/>
      <c r="M26" s="71"/>
      <c r="N26" s="71"/>
    </row>
    <row r="27" spans="1:38" s="74" customFormat="1" ht="12" customHeight="1">
      <c r="A27" s="71"/>
      <c r="B27" s="68" t="s">
        <v>61</v>
      </c>
      <c r="C27" s="78"/>
      <c r="D27" s="78"/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71"/>
      <c r="K27" s="71"/>
      <c r="L27" s="71"/>
      <c r="M27" s="71"/>
      <c r="N27" s="71"/>
    </row>
    <row r="28" spans="1:38" s="74" customFormat="1" ht="15.6" customHeight="1">
      <c r="A28" s="71"/>
      <c r="B28" s="84" t="s">
        <v>58</v>
      </c>
      <c r="C28" s="84"/>
      <c r="D28" s="69"/>
      <c r="E28" s="77">
        <f>SUM(E25:E27)</f>
        <v>35</v>
      </c>
      <c r="F28" s="77">
        <f>SUM(F25:F27)</f>
        <v>35</v>
      </c>
      <c r="G28" s="77">
        <f>SUM(G25:G27)</f>
        <v>35</v>
      </c>
      <c r="H28" s="77">
        <f>SUM(H25:H27)</f>
        <v>35</v>
      </c>
      <c r="I28" s="77">
        <f>SUM(I25:I27)</f>
        <v>35</v>
      </c>
      <c r="J28" s="98"/>
      <c r="K28" s="71"/>
      <c r="L28" s="71"/>
      <c r="M28" s="71"/>
      <c r="N28" s="71"/>
      <c r="O28" s="71"/>
      <c r="P28" s="71"/>
      <c r="Q28" s="71"/>
    </row>
    <row r="29" spans="1:38" s="108" customFormat="1" ht="19.5" customHeight="1">
      <c r="A29" s="104"/>
      <c r="B29" s="79" t="str">
        <f>"Interest Expense @ "&amp;TEXT(E24,"0.00%")</f>
        <v>Interest Expense @ 7.00%</v>
      </c>
      <c r="C29" s="80"/>
      <c r="D29" s="106"/>
      <c r="E29" s="81">
        <f>AVERAGE(E25,E28)*$E$24</f>
        <v>2.4500000000000002</v>
      </c>
      <c r="F29" s="81">
        <f>AVERAGE(F25,F28)*$E$24</f>
        <v>2.4500000000000002</v>
      </c>
      <c r="G29" s="81">
        <f>AVERAGE(G25,G28)*$E$24</f>
        <v>2.4500000000000002</v>
      </c>
      <c r="H29" s="81">
        <f>AVERAGE(H25,H28)*$E$24</f>
        <v>2.4500000000000002</v>
      </c>
      <c r="I29" s="81">
        <f>AVERAGE(I25,I28)*$E$24</f>
        <v>2.4500000000000002</v>
      </c>
      <c r="J29" s="107"/>
      <c r="K29" s="107"/>
      <c r="L29" s="107"/>
      <c r="M29" s="107"/>
      <c r="N29" s="107"/>
      <c r="O29" s="107"/>
      <c r="P29" s="107"/>
      <c r="Q29" s="107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38" s="74" customFormat="1" ht="15.6" customHeight="1">
      <c r="A30" s="104"/>
      <c r="B30" s="82" t="s">
        <v>108</v>
      </c>
      <c r="C30" s="83"/>
      <c r="D30" s="83"/>
      <c r="E30" s="69"/>
      <c r="F30" s="69"/>
      <c r="G30" s="69"/>
      <c r="H30" s="69"/>
      <c r="I30" s="69"/>
      <c r="J30" s="112"/>
      <c r="K30" s="98"/>
      <c r="L30" s="71"/>
      <c r="M30" s="71"/>
      <c r="N30" s="71"/>
      <c r="O30" s="71"/>
      <c r="P30" s="71"/>
      <c r="Q30" s="71"/>
      <c r="R30" s="71"/>
    </row>
    <row r="31" spans="1:38" s="105" customFormat="1" ht="12" customHeight="1">
      <c r="A31" s="104"/>
      <c r="B31" s="68" t="s">
        <v>55</v>
      </c>
      <c r="C31" s="78"/>
      <c r="D31" s="78"/>
      <c r="E31" s="101">
        <v>0.1</v>
      </c>
      <c r="F31" s="102"/>
      <c r="G31" s="78" t="s">
        <v>107</v>
      </c>
      <c r="H31" s="149">
        <v>3</v>
      </c>
      <c r="I31" s="78"/>
      <c r="J31" s="103"/>
      <c r="K31" s="98"/>
      <c r="L31" s="104"/>
      <c r="M31" s="104"/>
      <c r="N31" s="104"/>
      <c r="O31" s="104"/>
      <c r="P31" s="104"/>
      <c r="Q31" s="104"/>
      <c r="R31" s="10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</row>
    <row r="32" spans="1:38" s="74" customFormat="1" ht="15.6" customHeight="1">
      <c r="A32" s="104"/>
      <c r="B32" s="68" t="s">
        <v>56</v>
      </c>
      <c r="C32" s="78"/>
      <c r="D32" s="78"/>
      <c r="E32" s="87">
        <v>40</v>
      </c>
      <c r="F32" s="47">
        <f>E36</f>
        <v>44</v>
      </c>
      <c r="G32" s="47">
        <f>F36</f>
        <v>48.4</v>
      </c>
      <c r="H32" s="47">
        <f>G36</f>
        <v>53.239999999999995</v>
      </c>
      <c r="I32" s="47">
        <f>H36</f>
        <v>53.239999999999995</v>
      </c>
      <c r="J32" s="99"/>
      <c r="K32" s="98"/>
      <c r="L32" s="71"/>
      <c r="M32" s="71"/>
      <c r="N32" s="71"/>
      <c r="O32" s="71"/>
      <c r="P32" s="71"/>
      <c r="Q32" s="71"/>
      <c r="R32" s="71"/>
    </row>
    <row r="33" spans="1:37" s="74" customFormat="1" ht="15.6" customHeight="1">
      <c r="A33" s="104"/>
      <c r="B33" s="68" t="s">
        <v>106</v>
      </c>
      <c r="C33" s="78"/>
      <c r="D33" s="78"/>
      <c r="E33" s="47">
        <f>E38</f>
        <v>4</v>
      </c>
      <c r="F33" s="47">
        <f>F38</f>
        <v>4.4000000000000004</v>
      </c>
      <c r="G33" s="47">
        <f>G38</f>
        <v>4.84</v>
      </c>
      <c r="H33" s="47">
        <f>H38</f>
        <v>0</v>
      </c>
      <c r="I33" s="47">
        <f>I38</f>
        <v>0</v>
      </c>
      <c r="J33" s="99"/>
      <c r="K33" s="98"/>
      <c r="L33" s="71"/>
      <c r="M33" s="71"/>
      <c r="N33" s="71"/>
      <c r="O33" s="71"/>
      <c r="P33" s="71"/>
      <c r="Q33" s="71"/>
      <c r="R33" s="71"/>
    </row>
    <row r="34" spans="1:37" s="74" customFormat="1" ht="12" customHeight="1">
      <c r="A34" s="107"/>
      <c r="B34" s="68" t="s">
        <v>60</v>
      </c>
      <c r="C34" s="78"/>
      <c r="D34" s="78"/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71"/>
      <c r="K34" s="71"/>
      <c r="L34" s="71"/>
      <c r="M34" s="71"/>
      <c r="N34" s="71"/>
    </row>
    <row r="35" spans="1:37" s="74" customFormat="1" ht="12" customHeight="1">
      <c r="A35" s="71"/>
      <c r="B35" s="68" t="s">
        <v>61</v>
      </c>
      <c r="C35" s="78"/>
      <c r="D35" s="78"/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71"/>
      <c r="K35" s="71"/>
      <c r="L35" s="71"/>
      <c r="M35" s="71"/>
      <c r="N35" s="71"/>
    </row>
    <row r="36" spans="1:37" s="74" customFormat="1" ht="15.6" customHeight="1">
      <c r="A36" s="71"/>
      <c r="B36" s="84" t="s">
        <v>58</v>
      </c>
      <c r="C36" s="84"/>
      <c r="D36" s="69"/>
      <c r="E36" s="77">
        <f>SUM(E32:E35)</f>
        <v>44</v>
      </c>
      <c r="F36" s="77">
        <f>SUM(F32:F35)</f>
        <v>48.4</v>
      </c>
      <c r="G36" s="77">
        <f>SUM(G32:G35)</f>
        <v>53.239999999999995</v>
      </c>
      <c r="H36" s="77">
        <f>SUM(H32:H35)</f>
        <v>53.239999999999995</v>
      </c>
      <c r="I36" s="77">
        <f>SUM(I32:I35)</f>
        <v>53.239999999999995</v>
      </c>
      <c r="J36" s="98"/>
      <c r="K36" s="71"/>
      <c r="L36" s="71"/>
      <c r="M36" s="71"/>
      <c r="N36" s="71"/>
      <c r="O36" s="71"/>
      <c r="P36" s="71"/>
      <c r="Q36" s="71"/>
    </row>
    <row r="37" spans="1:37" s="108" customFormat="1" ht="14.25" customHeight="1">
      <c r="A37" s="104"/>
      <c r="B37" s="79" t="str">
        <f>"Cash Interest Expense @ "&amp;TEXT(E31,"0.00%")</f>
        <v>Cash Interest Expense @ 10.00%</v>
      </c>
      <c r="C37" s="80"/>
      <c r="D37" s="106"/>
      <c r="E37" s="81">
        <f>IF(E38=0,E32*$E$31,0)</f>
        <v>0</v>
      </c>
      <c r="F37" s="81">
        <f>IF(F38=0,F32*$E$31,0)</f>
        <v>0</v>
      </c>
      <c r="G37" s="81">
        <f>IF(G38=0,G32*$E$31,0)</f>
        <v>0</v>
      </c>
      <c r="H37" s="81">
        <f>IF(H38=0,H32*$E$31,0)</f>
        <v>5.3239999999999998</v>
      </c>
      <c r="I37" s="81">
        <f>IF(I38=0,I32*$E$31,0)</f>
        <v>5.3239999999999998</v>
      </c>
      <c r="J37" s="107"/>
      <c r="K37" s="107"/>
      <c r="L37" s="107"/>
      <c r="M37" s="107"/>
      <c r="N37" s="107"/>
      <c r="O37" s="107"/>
      <c r="P37" s="107"/>
      <c r="Q37" s="107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s="108" customFormat="1" ht="14.25" customHeight="1">
      <c r="A38" s="104"/>
      <c r="B38" s="79" t="str">
        <f>"PIK Interest Expense @ "&amp;TEXT(E31,"0.00%")</f>
        <v>PIK Interest Expense @ 10.00%</v>
      </c>
      <c r="C38" s="80"/>
      <c r="D38" s="106"/>
      <c r="E38" s="81">
        <f>IF(E4-C45&lt;=$H$31,E32*$E$31,0)</f>
        <v>4</v>
      </c>
      <c r="F38" s="81">
        <f>IF(F4-C45&lt;=$H$31,F32*$E$31,0)</f>
        <v>4.4000000000000004</v>
      </c>
      <c r="G38" s="81">
        <f>IF(G4-C45&lt;=$H$31,G32*$E$31,0)</f>
        <v>4.84</v>
      </c>
      <c r="H38" s="81">
        <f>IF(H4-C45&lt;=$H$31,H32*$E$31,0)</f>
        <v>0</v>
      </c>
      <c r="I38" s="81">
        <f>IF(I4-C45&lt;=$H$31,I32*$E$31,0)</f>
        <v>0</v>
      </c>
      <c r="J38" s="107"/>
      <c r="K38" s="107"/>
      <c r="L38" s="107"/>
      <c r="M38" s="107"/>
      <c r="N38" s="107"/>
      <c r="O38" s="107"/>
      <c r="P38" s="107"/>
      <c r="Q38" s="107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108" customFormat="1" ht="19.5" customHeight="1">
      <c r="A39" s="104"/>
      <c r="B39" s="79"/>
      <c r="C39" s="80"/>
      <c r="D39" s="106"/>
      <c r="E39" s="81" t="s">
        <v>126</v>
      </c>
      <c r="F39" s="81"/>
      <c r="G39" s="81"/>
      <c r="H39" s="81"/>
      <c r="I39" s="81"/>
      <c r="J39" s="107"/>
      <c r="K39" s="107"/>
      <c r="L39" s="107"/>
      <c r="M39" s="107"/>
      <c r="N39" s="107"/>
      <c r="O39" s="107"/>
      <c r="P39" s="107"/>
      <c r="Q39" s="107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>
      <c r="A40" s="71"/>
      <c r="B40" s="51" t="s">
        <v>75</v>
      </c>
      <c r="D40" s="55"/>
      <c r="F40" s="55"/>
      <c r="G40" s="55"/>
      <c r="H40" s="55"/>
      <c r="I40" s="55"/>
    </row>
    <row r="41" spans="1:37">
      <c r="A41" s="71"/>
      <c r="B41" s="57"/>
      <c r="C41" s="58"/>
      <c r="D41" s="59"/>
      <c r="E41" s="60" t="s">
        <v>1</v>
      </c>
      <c r="F41" s="60"/>
      <c r="G41" s="60"/>
      <c r="H41" s="60"/>
      <c r="I41" s="60"/>
    </row>
    <row r="42" spans="1:37">
      <c r="A42" s="71"/>
      <c r="B42" s="62" t="s">
        <v>64</v>
      </c>
      <c r="C42" s="63"/>
      <c r="D42" s="63"/>
      <c r="E42" s="63">
        <f>'Financials  - ABC Industries'!E$4</f>
        <v>2015</v>
      </c>
      <c r="F42" s="63">
        <f>'Financials  - ABC Industries'!F$4</f>
        <v>2016</v>
      </c>
      <c r="G42" s="63">
        <f>'Financials  - ABC Industries'!G$4</f>
        <v>2017</v>
      </c>
      <c r="H42" s="63">
        <f>'Financials  - ABC Industries'!H$4</f>
        <v>2018</v>
      </c>
      <c r="I42" s="63">
        <f>'Financials  - ABC Industries'!I$4</f>
        <v>2019</v>
      </c>
    </row>
    <row r="43" spans="1:37">
      <c r="A43" s="107"/>
      <c r="B43" s="83" t="s">
        <v>78</v>
      </c>
      <c r="C43" s="91" t="s">
        <v>76</v>
      </c>
      <c r="D43" s="91" t="s">
        <v>111</v>
      </c>
      <c r="E43" s="69"/>
      <c r="F43" s="69"/>
      <c r="G43" s="69"/>
      <c r="H43" s="70"/>
      <c r="I43" s="70"/>
    </row>
    <row r="44" spans="1:37">
      <c r="A44" s="107"/>
      <c r="B44" s="90"/>
      <c r="C44" s="114">
        <v>10</v>
      </c>
      <c r="D44" s="114">
        <v>1.5</v>
      </c>
      <c r="E44" s="69"/>
      <c r="F44" s="69"/>
      <c r="G44" s="69"/>
      <c r="H44" s="70"/>
      <c r="I44" s="70"/>
    </row>
    <row r="45" spans="1:37">
      <c r="B45" s="68" t="s">
        <v>112</v>
      </c>
      <c r="C45" s="177">
        <f>'Financials  - ABC Industries'!D4</f>
        <v>2014</v>
      </c>
      <c r="D45" s="69"/>
      <c r="E45" s="47">
        <f>VDB('Financials  - ABC Industries'!$D$34,0,$C$44,0,E42-C45,$D$44)</f>
        <v>33</v>
      </c>
      <c r="F45" s="47">
        <f>VDB('Financials  - ABC Industries'!$D$34,0,$C$44,E42-C45,F42-C45,$D$44)</f>
        <v>28.05</v>
      </c>
      <c r="G45" s="47">
        <f>VDB('Financials  - ABC Industries'!$D$34,0,$C$44,F42-C45,G42-C45,$D$44)</f>
        <v>23.842499999999998</v>
      </c>
      <c r="H45" s="47">
        <f>VDB('Financials  - ABC Industries'!$D$34,0,$C$44,G42-C45,H42-C45,$D$44)</f>
        <v>20.266124999999999</v>
      </c>
      <c r="I45" s="47">
        <f>VDB('Financials  - ABC Industries'!$D$34,0,$C$44,H42-C45,I42-C45,$D$44)</f>
        <v>19.140229166666664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37">
      <c r="B46" s="68" t="s">
        <v>113</v>
      </c>
      <c r="C46" s="69">
        <f>E42</f>
        <v>2015</v>
      </c>
      <c r="D46" s="69"/>
      <c r="E46" s="47">
        <f>'Assumptions - ABC Industries'!$E$21/$C$44/2</f>
        <v>2</v>
      </c>
      <c r="F46" s="47">
        <f>'Assumptions - ABC Industries'!$E$21/$C$44</f>
        <v>4</v>
      </c>
      <c r="G46" s="47">
        <f>'Assumptions - ABC Industries'!$E$21/$C$44</f>
        <v>4</v>
      </c>
      <c r="H46" s="47">
        <f>'Assumptions - ABC Industries'!$E$21/$C$44</f>
        <v>4</v>
      </c>
      <c r="I46" s="47">
        <f>'Assumptions - ABC Industries'!$E$21/$C$44</f>
        <v>4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37">
      <c r="C47" s="44">
        <f>F42</f>
        <v>2016</v>
      </c>
      <c r="F47" s="47">
        <f>'Assumptions - ABC Industries'!$F$21/$C$44/2</f>
        <v>1.75</v>
      </c>
      <c r="G47" s="47">
        <f>'Assumptions - ABC Industries'!$F$21/$C$44</f>
        <v>3.5</v>
      </c>
      <c r="H47" s="47">
        <f>'Assumptions - ABC Industries'!$F$21/$C$44</f>
        <v>3.5</v>
      </c>
      <c r="I47" s="47">
        <f>'Assumptions - ABC Industries'!$F$21/$C$44</f>
        <v>3.5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37">
      <c r="C48" s="44">
        <f>G42</f>
        <v>2017</v>
      </c>
      <c r="G48" s="47">
        <f>'Assumptions - ABC Industries'!$G$21/$C$44/2</f>
        <v>1.5</v>
      </c>
      <c r="H48" s="47">
        <f>'Assumptions - ABC Industries'!$G$21/$C$44</f>
        <v>3</v>
      </c>
      <c r="I48" s="47">
        <f>'Assumptions - ABC Industries'!$G$21/$C$44</f>
        <v>3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1:255">
      <c r="C49" s="44">
        <f>H42</f>
        <v>2018</v>
      </c>
      <c r="H49" s="47">
        <f>'Assumptions - ABC Industries'!$H$21/$C$44/2</f>
        <v>1.5</v>
      </c>
      <c r="I49" s="47">
        <f>'Assumptions - ABC Industries'!$H$21/$C$44</f>
        <v>3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</row>
    <row r="50" spans="1:255">
      <c r="C50" s="44">
        <f>I42</f>
        <v>2019</v>
      </c>
      <c r="E50" s="115"/>
      <c r="F50" s="115"/>
      <c r="G50" s="115"/>
      <c r="H50" s="115"/>
      <c r="I50" s="116">
        <f>'Assumptions - ABC Industries'!$I$21/$C$44/2</f>
        <v>1.5</v>
      </c>
      <c r="J50" s="47"/>
      <c r="K50" s="47"/>
      <c r="L50" s="47"/>
      <c r="M50" s="47"/>
      <c r="N50" s="47"/>
      <c r="O50" s="47"/>
      <c r="P50" s="47"/>
      <c r="Q50" s="47"/>
      <c r="R50" s="47"/>
      <c r="S50" s="78"/>
      <c r="T50" s="78"/>
    </row>
    <row r="51" spans="1:255">
      <c r="B51" s="44" t="s">
        <v>79</v>
      </c>
      <c r="E51" s="117">
        <f>SUM(E45:E50)</f>
        <v>35</v>
      </c>
      <c r="F51" s="117">
        <f>SUM(F45:F50)</f>
        <v>33.799999999999997</v>
      </c>
      <c r="G51" s="117">
        <f>SUM(G45:G50)</f>
        <v>32.842500000000001</v>
      </c>
      <c r="H51" s="117">
        <f>SUM(H45:H50)</f>
        <v>32.266125000000002</v>
      </c>
      <c r="I51" s="117">
        <f>SUM(I45:I50)</f>
        <v>34.140229166666664</v>
      </c>
      <c r="J51" s="47"/>
      <c r="K51" s="47"/>
      <c r="L51" s="47"/>
      <c r="M51" s="47"/>
      <c r="N51" s="47"/>
      <c r="O51" s="47"/>
      <c r="P51" s="47"/>
      <c r="Q51" s="47"/>
      <c r="R51" s="47"/>
      <c r="S51" s="78"/>
      <c r="T51" s="78"/>
    </row>
    <row r="52" spans="1:255">
      <c r="I52" s="87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1:255">
      <c r="B53" s="83" t="s">
        <v>77</v>
      </c>
      <c r="C53" s="91" t="s">
        <v>76</v>
      </c>
      <c r="D53" s="91" t="s">
        <v>111</v>
      </c>
      <c r="E53" s="69"/>
      <c r="F53" s="69"/>
      <c r="G53" s="69"/>
      <c r="H53" s="70"/>
      <c r="I53" s="70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  <row r="54" spans="1:255">
      <c r="B54" s="90"/>
      <c r="C54" s="114">
        <v>8</v>
      </c>
      <c r="D54" s="114">
        <v>1.5</v>
      </c>
      <c r="E54" s="69"/>
      <c r="F54" s="69"/>
      <c r="G54" s="69"/>
      <c r="H54" s="70"/>
      <c r="I54" s="70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</row>
    <row r="55" spans="1:255">
      <c r="B55" s="68" t="s">
        <v>112</v>
      </c>
      <c r="C55" s="177">
        <f t="shared" ref="C55:C60" si="0">C45</f>
        <v>2014</v>
      </c>
      <c r="D55" s="69"/>
      <c r="E55" s="47">
        <f>VDB('Financials  - ABC Industries'!$D$34,0,$C$54,0,E42-C55,$D$54)</f>
        <v>41.25</v>
      </c>
      <c r="F55" s="47">
        <f>VDB('Financials  - ABC Industries'!$D$34,0,$C$54,E42-C55,F42-C55,$D$54)</f>
        <v>33.515625</v>
      </c>
      <c r="G55" s="47">
        <f>VDB('Financials  - ABC Industries'!$D$34,0,$C$54,F42-C55,G42-C55,$D$54)</f>
        <v>27.2314453125</v>
      </c>
      <c r="H55" s="47">
        <f>VDB('Financials  - ABC Industries'!$D$34,0,$C$54,G42-C55,H42-C55,$D$54)</f>
        <v>23.6005859375</v>
      </c>
      <c r="I55" s="47">
        <f>VDB('Financials  - ABC Industries'!$D$34,0,$C$54,H42-C55,I42-C55,$D$54)</f>
        <v>23.6005859375</v>
      </c>
      <c r="J55" s="47"/>
      <c r="K55" s="47"/>
      <c r="L55" s="47"/>
      <c r="M55" s="47"/>
      <c r="N55" s="78"/>
      <c r="O55" s="78"/>
      <c r="P55" s="78"/>
      <c r="Q55" s="78"/>
      <c r="R55" s="78"/>
      <c r="S55" s="78"/>
      <c r="T55" s="78"/>
    </row>
    <row r="56" spans="1:255">
      <c r="B56" s="68" t="s">
        <v>113</v>
      </c>
      <c r="C56" s="69">
        <f t="shared" si="0"/>
        <v>2015</v>
      </c>
      <c r="D56" s="69"/>
      <c r="E56" s="47">
        <f>'Assumptions - ABC Industries'!$E$21/$C$54/2</f>
        <v>2.5</v>
      </c>
      <c r="F56" s="47">
        <f>'Assumptions - ABC Industries'!$E$21/$C$54</f>
        <v>5</v>
      </c>
      <c r="G56" s="47">
        <f>'Assumptions - ABC Industries'!$E$21/$C$54</f>
        <v>5</v>
      </c>
      <c r="H56" s="47">
        <f>'Assumptions - ABC Industries'!$E$21/$C$54</f>
        <v>5</v>
      </c>
      <c r="I56" s="47">
        <f>'Assumptions - ABC Industries'!$E$21/$C$54</f>
        <v>5</v>
      </c>
      <c r="J56" s="47"/>
      <c r="K56" s="47"/>
      <c r="L56" s="47"/>
      <c r="M56" s="47"/>
      <c r="N56" s="78"/>
      <c r="O56" s="78"/>
      <c r="P56" s="78"/>
      <c r="Q56" s="78"/>
      <c r="R56" s="78"/>
      <c r="S56" s="78"/>
      <c r="T56" s="78"/>
    </row>
    <row r="57" spans="1:255">
      <c r="C57" s="69">
        <f t="shared" si="0"/>
        <v>2016</v>
      </c>
      <c r="F57" s="47">
        <f>'Assumptions - ABC Industries'!$F$21/$C$54/2</f>
        <v>2.1875</v>
      </c>
      <c r="G57" s="47">
        <f>'Assumptions - ABC Industries'!$F$21/$C$54</f>
        <v>4.375</v>
      </c>
      <c r="H57" s="47">
        <f>'Assumptions - ABC Industries'!$F$21/$C$54</f>
        <v>4.375</v>
      </c>
      <c r="I57" s="47">
        <f>'Assumptions - ABC Industries'!$F$21/$C$54</f>
        <v>4.375</v>
      </c>
      <c r="J57" s="47"/>
      <c r="K57" s="47"/>
      <c r="L57" s="47"/>
      <c r="M57" s="47"/>
      <c r="N57" s="47"/>
      <c r="O57" s="47"/>
      <c r="P57" s="47"/>
      <c r="Q57" s="78"/>
      <c r="R57" s="78"/>
      <c r="S57" s="78"/>
      <c r="T57" s="78"/>
      <c r="IU57" s="47"/>
    </row>
    <row r="58" spans="1:255">
      <c r="C58" s="69">
        <f t="shared" si="0"/>
        <v>2017</v>
      </c>
      <c r="G58" s="47">
        <f>'Assumptions - ABC Industries'!$G$21/$C$54/2</f>
        <v>1.875</v>
      </c>
      <c r="H58" s="47">
        <f>'Assumptions - ABC Industries'!$G$21/$C$54</f>
        <v>3.75</v>
      </c>
      <c r="I58" s="47">
        <f>'Assumptions - ABC Industries'!$G$21/$C$54</f>
        <v>3.75</v>
      </c>
      <c r="J58" s="47"/>
      <c r="K58" s="47"/>
      <c r="L58" s="47"/>
      <c r="M58" s="47"/>
      <c r="N58" s="47"/>
      <c r="O58" s="47"/>
      <c r="P58" s="47"/>
      <c r="Q58" s="78"/>
      <c r="R58" s="78"/>
      <c r="S58" s="78"/>
      <c r="T58" s="78"/>
      <c r="IU58" s="47"/>
    </row>
    <row r="59" spans="1:255">
      <c r="C59" s="69">
        <f t="shared" si="0"/>
        <v>2018</v>
      </c>
      <c r="H59" s="47">
        <f>'Assumptions - ABC Industries'!$H$21/$C$54/2</f>
        <v>1.875</v>
      </c>
      <c r="I59" s="47">
        <f>'Assumptions - ABC Industries'!$H$21/$C$54</f>
        <v>3.75</v>
      </c>
      <c r="J59" s="47"/>
      <c r="K59" s="47"/>
      <c r="L59" s="47"/>
      <c r="M59" s="47"/>
      <c r="N59" s="47"/>
      <c r="O59" s="47"/>
      <c r="P59" s="47"/>
      <c r="Q59" s="78"/>
      <c r="R59" s="78"/>
      <c r="S59" s="78"/>
      <c r="T59" s="78"/>
      <c r="IU59" s="47"/>
    </row>
    <row r="60" spans="1:255">
      <c r="C60" s="44">
        <f t="shared" si="0"/>
        <v>2019</v>
      </c>
      <c r="E60" s="115"/>
      <c r="F60" s="115"/>
      <c r="G60" s="115"/>
      <c r="H60" s="115"/>
      <c r="I60" s="116">
        <f>'Assumptions - ABC Industries'!$I$21/$C$54/2</f>
        <v>1.875</v>
      </c>
      <c r="J60" s="47"/>
      <c r="K60" s="47"/>
      <c r="L60" s="47"/>
      <c r="M60" s="47"/>
      <c r="N60" s="47"/>
      <c r="O60" s="47"/>
      <c r="P60" s="47"/>
      <c r="Q60" s="78"/>
      <c r="R60" s="78"/>
      <c r="S60" s="78"/>
      <c r="T60" s="78"/>
      <c r="IU60" s="116"/>
    </row>
    <row r="61" spans="1:255">
      <c r="B61" s="44" t="s">
        <v>79</v>
      </c>
      <c r="E61" s="117">
        <f>SUM(E55:E60)</f>
        <v>43.75</v>
      </c>
      <c r="F61" s="117">
        <f>SUM(F55:F60)</f>
        <v>40.703125</v>
      </c>
      <c r="G61" s="117">
        <f>SUM(G55:G60)</f>
        <v>38.4814453125</v>
      </c>
      <c r="H61" s="117">
        <f>SUM(H55:H60)</f>
        <v>38.6005859375</v>
      </c>
      <c r="I61" s="117">
        <f>SUM(I55:I60)</f>
        <v>42.3505859375</v>
      </c>
      <c r="J61" s="47"/>
      <c r="K61" s="47"/>
      <c r="L61" s="47"/>
      <c r="M61" s="47"/>
      <c r="N61" s="47"/>
      <c r="O61" s="47"/>
      <c r="P61" s="47"/>
      <c r="Q61" s="78"/>
      <c r="R61" s="78"/>
      <c r="S61" s="78"/>
      <c r="T61" s="78"/>
      <c r="IU61" s="117"/>
    </row>
    <row r="62" spans="1:255"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4" spans="1:255">
      <c r="A64" s="71"/>
      <c r="B64" s="51" t="s">
        <v>97</v>
      </c>
      <c r="D64" s="55"/>
      <c r="F64" s="55"/>
      <c r="G64" s="55"/>
      <c r="H64" s="55"/>
      <c r="I64" s="55"/>
    </row>
    <row r="65" spans="1:38" s="122" customFormat="1" ht="12.95" customHeight="1">
      <c r="A65" s="118"/>
      <c r="B65" s="119"/>
      <c r="C65" s="120"/>
      <c r="D65" s="92"/>
      <c r="E65" s="60" t="s">
        <v>1</v>
      </c>
      <c r="F65" s="60"/>
      <c r="G65" s="60"/>
      <c r="H65" s="60"/>
      <c r="I65" s="60"/>
      <c r="J65" s="93"/>
      <c r="K65" s="121"/>
      <c r="L65" s="118"/>
      <c r="M65" s="118"/>
      <c r="N65" s="118"/>
      <c r="O65" s="118"/>
      <c r="P65" s="118"/>
      <c r="Q65" s="118"/>
      <c r="R65" s="118"/>
    </row>
    <row r="66" spans="1:38" s="122" customFormat="1" ht="12.95" customHeight="1">
      <c r="A66" s="118"/>
      <c r="B66" s="62" t="s">
        <v>64</v>
      </c>
      <c r="C66" s="123"/>
      <c r="D66" s="94"/>
      <c r="E66" s="63">
        <f>'Financials  - ABC Industries'!E$4</f>
        <v>2015</v>
      </c>
      <c r="F66" s="63">
        <f>'Financials  - ABC Industries'!F$4</f>
        <v>2016</v>
      </c>
      <c r="G66" s="63">
        <f>'Financials  - ABC Industries'!G$4</f>
        <v>2017</v>
      </c>
      <c r="H66" s="63">
        <f>'Financials  - ABC Industries'!H$4</f>
        <v>2018</v>
      </c>
      <c r="I66" s="63">
        <f>'Financials  - ABC Industries'!I$4</f>
        <v>2019</v>
      </c>
      <c r="J66" s="95"/>
      <c r="K66" s="121"/>
      <c r="L66" s="118"/>
      <c r="M66" s="118"/>
      <c r="N66" s="118"/>
      <c r="O66" s="118"/>
      <c r="P66" s="118"/>
      <c r="Q66" s="118"/>
      <c r="R66" s="118"/>
    </row>
    <row r="67" spans="1:38" s="105" customFormat="1" ht="15.6" customHeight="1">
      <c r="A67" s="104"/>
      <c r="B67" s="83" t="s">
        <v>110</v>
      </c>
      <c r="C67" s="69"/>
      <c r="D67" s="140"/>
      <c r="K67" s="98"/>
      <c r="L67" s="104"/>
      <c r="M67" s="104"/>
      <c r="N67" s="104"/>
      <c r="O67" s="104"/>
      <c r="P67" s="104"/>
      <c r="Q67" s="104"/>
      <c r="R67" s="10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</row>
    <row r="68" spans="1:38" s="73" customFormat="1" ht="15.6" customHeight="1">
      <c r="A68" s="72"/>
      <c r="B68" s="97" t="s">
        <v>22</v>
      </c>
      <c r="C68" s="97"/>
      <c r="D68" s="124"/>
      <c r="E68" s="117">
        <f>'Financials  - ABC Industries'!E20</f>
        <v>-6.9999999999999893</v>
      </c>
      <c r="F68" s="117">
        <f>'Financials  - ABC Industries'!F20</f>
        <v>1.9850500000000011</v>
      </c>
      <c r="G68" s="117">
        <f>'Financials  - ABC Industries'!G20</f>
        <v>10.233514000000007</v>
      </c>
      <c r="H68" s="117">
        <f>'Financials  - ABC Industries'!H20</f>
        <v>20.275431659999995</v>
      </c>
      <c r="I68" s="117">
        <f>'Financials  - ABC Industries'!I20</f>
        <v>25.508773646133356</v>
      </c>
      <c r="J68" s="99"/>
      <c r="K68" s="98"/>
      <c r="L68" s="72"/>
      <c r="M68" s="72"/>
      <c r="N68" s="72"/>
      <c r="O68" s="72"/>
      <c r="P68" s="72"/>
      <c r="Q68" s="72"/>
      <c r="R68" s="72"/>
    </row>
    <row r="69" spans="1:38" s="73" customFormat="1" ht="11.25" customHeight="1">
      <c r="A69" s="72"/>
      <c r="B69" s="97" t="s">
        <v>81</v>
      </c>
      <c r="C69" s="97"/>
      <c r="D69" s="125"/>
      <c r="E69" s="47">
        <f>E38</f>
        <v>4</v>
      </c>
      <c r="F69" s="47">
        <f>F38</f>
        <v>4.4000000000000004</v>
      </c>
      <c r="G69" s="47">
        <f>G38</f>
        <v>4.84</v>
      </c>
      <c r="H69" s="47">
        <f>H38</f>
        <v>0</v>
      </c>
      <c r="I69" s="47">
        <f>I38</f>
        <v>0</v>
      </c>
      <c r="J69" s="127"/>
      <c r="K69" s="98"/>
      <c r="L69" s="125"/>
      <c r="M69" s="125"/>
      <c r="N69" s="126"/>
      <c r="O69" s="126"/>
      <c r="P69" s="126"/>
      <c r="Q69" s="126"/>
      <c r="R69" s="126"/>
      <c r="S69" s="126"/>
    </row>
    <row r="70" spans="1:38" s="73" customFormat="1" ht="11.25" customHeight="1">
      <c r="A70" s="72"/>
      <c r="B70" s="97" t="s">
        <v>98</v>
      </c>
      <c r="C70" s="97"/>
      <c r="D70" s="125"/>
      <c r="E70" s="126">
        <f>+E51</f>
        <v>35</v>
      </c>
      <c r="F70" s="126">
        <f>+F51</f>
        <v>33.799999999999997</v>
      </c>
      <c r="G70" s="126">
        <f>+G51</f>
        <v>32.842500000000001</v>
      </c>
      <c r="H70" s="126">
        <f>+H51</f>
        <v>32.266125000000002</v>
      </c>
      <c r="I70" s="126">
        <f>+I51</f>
        <v>34.140229166666664</v>
      </c>
      <c r="J70" s="127"/>
      <c r="K70" s="98"/>
      <c r="L70" s="125"/>
      <c r="M70" s="125"/>
      <c r="N70" s="126"/>
      <c r="O70" s="126"/>
      <c r="P70" s="126"/>
      <c r="Q70" s="126"/>
      <c r="R70" s="126"/>
      <c r="S70" s="126"/>
    </row>
    <row r="71" spans="1:38" s="73" customFormat="1" ht="11.25" customHeight="1">
      <c r="A71" s="72"/>
      <c r="B71" s="97" t="s">
        <v>99</v>
      </c>
      <c r="C71" s="97"/>
      <c r="D71" s="125"/>
      <c r="E71" s="126">
        <f>-E61</f>
        <v>-43.75</v>
      </c>
      <c r="F71" s="126">
        <f>-F61</f>
        <v>-40.703125</v>
      </c>
      <c r="G71" s="126">
        <f>-G61</f>
        <v>-38.4814453125</v>
      </c>
      <c r="H71" s="126">
        <f>-H61</f>
        <v>-38.6005859375</v>
      </c>
      <c r="I71" s="126">
        <f>-I61</f>
        <v>-42.3505859375</v>
      </c>
      <c r="J71" s="127"/>
      <c r="K71" s="98"/>
      <c r="L71" s="125"/>
      <c r="M71" s="125"/>
      <c r="N71" s="126"/>
      <c r="O71" s="126"/>
      <c r="P71" s="126"/>
      <c r="Q71" s="126"/>
      <c r="R71" s="126"/>
      <c r="S71" s="126"/>
    </row>
    <row r="72" spans="1:38" s="74" customFormat="1" ht="11.25" customHeight="1">
      <c r="A72" s="71"/>
      <c r="B72" s="69" t="s">
        <v>82</v>
      </c>
      <c r="C72" s="78"/>
      <c r="D72" s="124"/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99"/>
      <c r="K72" s="98"/>
      <c r="L72" s="71"/>
      <c r="M72" s="71"/>
      <c r="N72" s="71"/>
      <c r="O72" s="71"/>
      <c r="P72" s="71"/>
      <c r="Q72" s="71"/>
      <c r="R72" s="71"/>
    </row>
    <row r="73" spans="1:38" s="74" customFormat="1" ht="11.25" customHeight="1">
      <c r="A73" s="71"/>
      <c r="B73" s="69" t="s">
        <v>100</v>
      </c>
      <c r="C73" s="78"/>
      <c r="D73" s="124"/>
      <c r="E73" s="88">
        <v>0</v>
      </c>
      <c r="F73" s="88">
        <v>0</v>
      </c>
      <c r="G73" s="88">
        <v>0</v>
      </c>
      <c r="H73" s="88">
        <v>0</v>
      </c>
      <c r="I73" s="88">
        <v>0</v>
      </c>
      <c r="J73" s="99"/>
      <c r="K73" s="98"/>
      <c r="L73" s="71"/>
      <c r="M73" s="71"/>
      <c r="N73" s="71"/>
      <c r="O73" s="71"/>
      <c r="P73" s="71"/>
      <c r="Q73" s="71"/>
      <c r="R73" s="71"/>
    </row>
    <row r="74" spans="1:38" s="74" customFormat="1">
      <c r="A74" s="71"/>
      <c r="B74" s="128" t="s">
        <v>83</v>
      </c>
      <c r="C74" s="128"/>
      <c r="D74" s="129"/>
      <c r="E74" s="77">
        <f>SUM(E68:E73)</f>
        <v>-11.749999999999986</v>
      </c>
      <c r="F74" s="77">
        <f>SUM(F68:F73)</f>
        <v>-0.51807500000000317</v>
      </c>
      <c r="G74" s="77">
        <f>SUM(G68:G73)</f>
        <v>9.4345686875000041</v>
      </c>
      <c r="H74" s="77">
        <f>SUM(H68:H73)</f>
        <v>13.940970722499998</v>
      </c>
      <c r="I74" s="77">
        <f>SUM(I68:I73)</f>
        <v>17.29841687530002</v>
      </c>
      <c r="J74" s="100"/>
      <c r="K74" s="98"/>
      <c r="L74" s="71"/>
      <c r="M74" s="71"/>
      <c r="N74" s="71"/>
      <c r="O74" s="71"/>
      <c r="P74" s="71"/>
      <c r="Q74" s="71"/>
      <c r="R74" s="71"/>
    </row>
    <row r="75" spans="1:38" s="105" customFormat="1" ht="12" customHeight="1">
      <c r="A75" s="104"/>
      <c r="B75" s="69" t="s">
        <v>84</v>
      </c>
      <c r="C75" s="78"/>
      <c r="D75" s="124"/>
      <c r="E75" s="47">
        <f>+E93</f>
        <v>0</v>
      </c>
      <c r="F75" s="47">
        <f>+F93</f>
        <v>0</v>
      </c>
      <c r="G75" s="47">
        <f>+G93</f>
        <v>-9.4345686875000041</v>
      </c>
      <c r="H75" s="47">
        <f>+H93</f>
        <v>-2.8335063124999849</v>
      </c>
      <c r="I75" s="47">
        <f>+I93</f>
        <v>0</v>
      </c>
      <c r="J75" s="99"/>
      <c r="K75" s="98"/>
      <c r="L75" s="104"/>
      <c r="M75" s="104"/>
      <c r="N75" s="104"/>
      <c r="O75" s="104"/>
      <c r="P75" s="104"/>
      <c r="Q75" s="104"/>
      <c r="R75" s="10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</row>
    <row r="76" spans="1:38" s="105" customFormat="1" ht="16.5" customHeight="1">
      <c r="A76" s="104"/>
      <c r="B76" s="69" t="s">
        <v>85</v>
      </c>
      <c r="C76" s="78"/>
      <c r="D76" s="130"/>
      <c r="E76" s="131">
        <f>'Assumptions - ABC Industries'!E13</f>
        <v>0.35</v>
      </c>
      <c r="F76" s="131">
        <f>'Assumptions - ABC Industries'!F13</f>
        <v>0.35</v>
      </c>
      <c r="G76" s="131">
        <f>'Assumptions - ABC Industries'!G13</f>
        <v>0.35</v>
      </c>
      <c r="H76" s="131">
        <f>'Assumptions - ABC Industries'!H13</f>
        <v>0.35</v>
      </c>
      <c r="I76" s="131">
        <f>'Assumptions - ABC Industries'!I13</f>
        <v>0.35</v>
      </c>
      <c r="J76" s="132"/>
      <c r="K76" s="98"/>
      <c r="L76" s="104"/>
      <c r="M76" s="104"/>
      <c r="N76" s="104"/>
      <c r="O76" s="104"/>
      <c r="P76" s="104"/>
      <c r="Q76" s="104"/>
      <c r="R76" s="10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</row>
    <row r="77" spans="1:38" s="105" customFormat="1" ht="15.6" customHeight="1">
      <c r="A77" s="104"/>
      <c r="B77" s="128" t="s">
        <v>103</v>
      </c>
      <c r="C77" s="128"/>
      <c r="D77" s="129"/>
      <c r="E77" s="77">
        <f>IF((E74+E75)&lt;0,0,IF(E74&gt;0,(E74+E75)*E76,0))</f>
        <v>0</v>
      </c>
      <c r="F77" s="77">
        <f>IF((F74+F75)&lt;0,0,IF(F74&gt;0,(F74+F75)*F76,0))</f>
        <v>0</v>
      </c>
      <c r="G77" s="77">
        <f>IF((G74+G75)&lt;0,0,IF(G74&gt;0,(G74+G75)*G76,0))</f>
        <v>0</v>
      </c>
      <c r="H77" s="77">
        <f>IF((H74+H75)&lt;0,0,IF(H74&gt;0,(H74+H75)*H76,0))</f>
        <v>3.8876125435000044</v>
      </c>
      <c r="I77" s="77">
        <f>IF((I74+I75)&lt;0,0,IF(I74&gt;0,(I74+I75)*I76,0))</f>
        <v>6.0544459063550065</v>
      </c>
      <c r="J77" s="100"/>
      <c r="K77" s="98"/>
      <c r="L77" s="104"/>
      <c r="M77" s="104"/>
      <c r="N77" s="104"/>
      <c r="O77" s="104"/>
      <c r="P77" s="104"/>
      <c r="Q77" s="104"/>
      <c r="R77" s="10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</row>
    <row r="78" spans="1:38" s="105" customFormat="1" ht="15.6" customHeight="1">
      <c r="A78" s="104"/>
      <c r="B78" s="128" t="s">
        <v>104</v>
      </c>
      <c r="C78" s="128"/>
      <c r="D78" s="129"/>
      <c r="E78" s="77">
        <f>E77+E87</f>
        <v>-1.0499999999999949</v>
      </c>
      <c r="F78" s="77">
        <f>F77+F87</f>
        <v>2.2347674999999998</v>
      </c>
      <c r="G78" s="77">
        <f>G77+G87</f>
        <v>5.2757299000000009</v>
      </c>
      <c r="H78" s="77">
        <f>H77+H87</f>
        <v>7.096401080999998</v>
      </c>
      <c r="I78" s="77">
        <f>I77+I87</f>
        <v>8.928070776146674</v>
      </c>
      <c r="J78" s="100"/>
      <c r="K78" s="98"/>
      <c r="L78" s="104"/>
      <c r="M78" s="104"/>
      <c r="N78" s="104"/>
      <c r="O78" s="104"/>
      <c r="P78" s="104"/>
      <c r="Q78" s="104"/>
      <c r="R78" s="10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</row>
    <row r="79" spans="1:38" s="105" customFormat="1" ht="15.6" customHeight="1">
      <c r="A79" s="104"/>
      <c r="B79" s="152" t="s">
        <v>109</v>
      </c>
      <c r="C79" s="128"/>
      <c r="D79" s="129"/>
      <c r="E79" s="148">
        <f>E78/(E68+E72+E69)</f>
        <v>0.34999999999999953</v>
      </c>
      <c r="F79" s="148">
        <f>F78/(F68+F72+F69)</f>
        <v>0.34999999999999987</v>
      </c>
      <c r="G79" s="148">
        <f>G78/(G68+G72+G69)</f>
        <v>0.34999999999999992</v>
      </c>
      <c r="H79" s="148">
        <f>H78/(H68+H72+H69)</f>
        <v>0.35</v>
      </c>
      <c r="I79" s="148">
        <f>I78/(I68+I72+I69)</f>
        <v>0.35</v>
      </c>
      <c r="J79" s="148"/>
      <c r="K79" s="98"/>
      <c r="L79" s="104"/>
      <c r="M79" s="104"/>
      <c r="N79" s="104"/>
      <c r="O79" s="104"/>
      <c r="P79" s="104"/>
      <c r="Q79" s="104"/>
      <c r="R79" s="10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</row>
    <row r="80" spans="1:38" s="138" customFormat="1" ht="5.25" customHeight="1">
      <c r="A80" s="133"/>
      <c r="B80" s="79"/>
      <c r="C80" s="134"/>
      <c r="D80" s="135"/>
      <c r="E80" s="136"/>
      <c r="F80" s="136"/>
      <c r="G80" s="136"/>
      <c r="H80" s="136"/>
      <c r="I80" s="136"/>
      <c r="J80" s="137"/>
      <c r="K80" s="121"/>
      <c r="L80" s="133"/>
      <c r="M80" s="133"/>
      <c r="N80" s="133"/>
      <c r="O80" s="133"/>
      <c r="P80" s="133"/>
      <c r="Q80" s="133"/>
      <c r="R80" s="133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</row>
    <row r="81" spans="1:38" s="105" customFormat="1" ht="15.6" customHeight="1">
      <c r="A81" s="104"/>
      <c r="B81" s="83" t="s">
        <v>86</v>
      </c>
      <c r="C81" s="69"/>
      <c r="D81" s="140"/>
      <c r="E81" s="148"/>
      <c r="F81" s="148"/>
      <c r="G81" s="148"/>
      <c r="H81" s="148"/>
      <c r="I81" s="148"/>
      <c r="J81" s="142"/>
      <c r="K81" s="98"/>
      <c r="L81" s="104"/>
      <c r="M81" s="104"/>
      <c r="N81" s="104"/>
      <c r="O81" s="104"/>
      <c r="P81" s="104"/>
      <c r="Q81" s="104"/>
      <c r="R81" s="10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</row>
    <row r="82" spans="1:38" s="105" customFormat="1" ht="15.6" customHeight="1">
      <c r="A82" s="104"/>
      <c r="B82" s="78" t="s">
        <v>87</v>
      </c>
      <c r="C82" s="78"/>
      <c r="D82" s="140"/>
      <c r="E82" s="47">
        <f>D88</f>
        <v>0</v>
      </c>
      <c r="F82" s="47">
        <f>+E88</f>
        <v>-1.0499999999999949</v>
      </c>
      <c r="G82" s="47">
        <f>+F88</f>
        <v>1.1847675000000049</v>
      </c>
      <c r="H82" s="47">
        <f>+G88</f>
        <v>6.4604974000000057</v>
      </c>
      <c r="I82" s="47">
        <f>+H88</f>
        <v>9.6692859374999998</v>
      </c>
      <c r="J82" s="47"/>
      <c r="K82" s="47"/>
      <c r="L82" s="47"/>
      <c r="M82" s="47"/>
      <c r="N82" s="47"/>
      <c r="O82" s="47"/>
      <c r="P82" s="47"/>
      <c r="Q82" s="47"/>
      <c r="R82" s="47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</row>
    <row r="83" spans="1:38" s="105" customFormat="1" ht="12" customHeight="1">
      <c r="A83" s="104"/>
      <c r="B83" s="78" t="s">
        <v>88</v>
      </c>
      <c r="C83" s="78"/>
      <c r="D83" s="140"/>
      <c r="E83" s="47">
        <f>(E61-E51)</f>
        <v>8.75</v>
      </c>
      <c r="F83" s="47">
        <f>(F61-F51)</f>
        <v>6.9031250000000028</v>
      </c>
      <c r="G83" s="47">
        <f>(G61-G51)</f>
        <v>5.6389453124999989</v>
      </c>
      <c r="H83" s="47">
        <f>(H61-H51)</f>
        <v>6.3344609374999976</v>
      </c>
      <c r="I83" s="47">
        <f>(I61-I51)</f>
        <v>8.2103567708333358</v>
      </c>
      <c r="J83" s="47"/>
      <c r="K83" s="47"/>
      <c r="L83" s="47"/>
      <c r="M83" s="47"/>
      <c r="N83" s="47"/>
      <c r="O83" s="47"/>
      <c r="P83" s="47"/>
      <c r="Q83" s="47"/>
      <c r="R83" s="47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</row>
    <row r="84" spans="1:38" s="105" customFormat="1" ht="12" customHeight="1">
      <c r="A84" s="104"/>
      <c r="B84" s="78" t="s">
        <v>89</v>
      </c>
      <c r="C84" s="78"/>
      <c r="D84" s="140"/>
      <c r="E84" s="143">
        <v>0</v>
      </c>
      <c r="F84" s="143">
        <v>0</v>
      </c>
      <c r="G84" s="143">
        <v>0</v>
      </c>
      <c r="H84" s="143">
        <v>0</v>
      </c>
      <c r="I84" s="143">
        <v>0</v>
      </c>
      <c r="J84" s="143"/>
      <c r="K84" s="143"/>
      <c r="L84" s="143"/>
      <c r="M84" s="143"/>
      <c r="N84" s="143"/>
      <c r="O84" s="143"/>
      <c r="P84" s="143"/>
      <c r="Q84" s="143"/>
      <c r="R84" s="143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</row>
    <row r="85" spans="1:38" s="105" customFormat="1" ht="12" customHeight="1">
      <c r="A85" s="104"/>
      <c r="B85" s="78" t="s">
        <v>90</v>
      </c>
      <c r="C85" s="78"/>
      <c r="D85" s="140"/>
      <c r="E85" s="47">
        <f>-(E92+E93)</f>
        <v>-11.749999999999986</v>
      </c>
      <c r="F85" s="47">
        <f>-(F92+F93)</f>
        <v>-0.51807500000000317</v>
      </c>
      <c r="G85" s="47">
        <f>-(G92+G93)</f>
        <v>9.4345686875000041</v>
      </c>
      <c r="H85" s="47">
        <f>-(H92+H93)</f>
        <v>2.8335063124999849</v>
      </c>
      <c r="I85" s="47">
        <f>-(I92+I93)</f>
        <v>0</v>
      </c>
      <c r="J85" s="47"/>
      <c r="K85" s="47"/>
      <c r="L85" s="47"/>
      <c r="M85" s="47"/>
      <c r="N85" s="47"/>
      <c r="O85" s="47"/>
      <c r="P85" s="47"/>
      <c r="Q85" s="47"/>
      <c r="R85" s="47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</row>
    <row r="86" spans="1:38" s="74" customFormat="1" ht="12" customHeight="1">
      <c r="A86" s="71"/>
      <c r="B86" s="78" t="s">
        <v>91</v>
      </c>
      <c r="C86" s="78"/>
      <c r="D86" s="144"/>
      <c r="E86" s="145">
        <f>+E76</f>
        <v>0.35</v>
      </c>
      <c r="F86" s="145">
        <f>+F76</f>
        <v>0.35</v>
      </c>
      <c r="G86" s="145">
        <f>+G76</f>
        <v>0.35</v>
      </c>
      <c r="H86" s="145">
        <f>+H76</f>
        <v>0.35</v>
      </c>
      <c r="I86" s="145">
        <f>+I76</f>
        <v>0.35</v>
      </c>
      <c r="J86" s="145"/>
      <c r="K86" s="145"/>
      <c r="L86" s="145"/>
      <c r="M86" s="145"/>
      <c r="N86" s="145"/>
      <c r="O86" s="145"/>
      <c r="P86" s="145"/>
      <c r="Q86" s="145"/>
      <c r="R86" s="145"/>
    </row>
    <row r="87" spans="1:38" s="74" customFormat="1" ht="12" customHeight="1">
      <c r="A87" s="71"/>
      <c r="B87" s="78" t="s">
        <v>92</v>
      </c>
      <c r="C87" s="78"/>
      <c r="D87" s="140"/>
      <c r="E87" s="75">
        <f>SUM(E83:E85)*E86</f>
        <v>-1.0499999999999949</v>
      </c>
      <c r="F87" s="75">
        <f>SUM(F83:F85)*F86</f>
        <v>2.2347674999999998</v>
      </c>
      <c r="G87" s="75">
        <f>SUM(G83:G85)*G86</f>
        <v>5.2757299000000009</v>
      </c>
      <c r="H87" s="75">
        <f>SUM(H83:H85)*H86</f>
        <v>3.2087885374999936</v>
      </c>
      <c r="I87" s="75">
        <f>SUM(I83:I85)*I86</f>
        <v>2.8736248697916675</v>
      </c>
      <c r="J87" s="75"/>
      <c r="K87" s="75"/>
      <c r="L87" s="75"/>
      <c r="M87" s="75"/>
      <c r="N87" s="75"/>
      <c r="O87" s="75"/>
      <c r="P87" s="75"/>
      <c r="Q87" s="75"/>
      <c r="R87" s="75"/>
    </row>
    <row r="88" spans="1:38" s="74" customFormat="1" ht="15.6" customHeight="1">
      <c r="A88" s="71"/>
      <c r="B88" s="128" t="s">
        <v>93</v>
      </c>
      <c r="C88" s="128"/>
      <c r="D88" s="147">
        <v>0</v>
      </c>
      <c r="E88" s="77">
        <f>E82+E87</f>
        <v>-1.0499999999999949</v>
      </c>
      <c r="F88" s="77">
        <f>F82+F87</f>
        <v>1.1847675000000049</v>
      </c>
      <c r="G88" s="77">
        <f>G82+G87</f>
        <v>6.4604974000000057</v>
      </c>
      <c r="H88" s="77">
        <f>H82+H87</f>
        <v>9.6692859374999998</v>
      </c>
      <c r="I88" s="77">
        <f>I82+I87</f>
        <v>12.542910807291667</v>
      </c>
      <c r="J88" s="77"/>
      <c r="K88" s="77"/>
      <c r="L88" s="77"/>
      <c r="M88" s="77"/>
      <c r="N88" s="77"/>
      <c r="O88" s="77"/>
      <c r="P88" s="77"/>
      <c r="Q88" s="77"/>
      <c r="R88" s="77"/>
    </row>
    <row r="89" spans="1:38" s="138" customFormat="1" ht="4.5" customHeight="1">
      <c r="A89" s="133"/>
      <c r="B89" s="79"/>
      <c r="C89" s="134"/>
      <c r="D89" s="135"/>
      <c r="E89" s="136"/>
      <c r="F89" s="136"/>
      <c r="G89" s="136"/>
      <c r="H89" s="136"/>
      <c r="I89" s="136"/>
      <c r="J89" s="137"/>
      <c r="K89" s="121"/>
      <c r="L89" s="133"/>
      <c r="M89" s="133"/>
      <c r="N89" s="133"/>
      <c r="O89" s="133"/>
      <c r="P89" s="133"/>
      <c r="Q89" s="133"/>
      <c r="R89" s="133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</row>
    <row r="90" spans="1:38" s="74" customFormat="1" ht="15.6" customHeight="1">
      <c r="A90" s="71"/>
      <c r="B90" s="96" t="s">
        <v>101</v>
      </c>
      <c r="C90" s="146"/>
      <c r="D90" s="141"/>
      <c r="E90" s="141"/>
      <c r="F90" s="141"/>
      <c r="G90" s="141"/>
      <c r="H90" s="141"/>
      <c r="I90" s="141"/>
      <c r="J90" s="142"/>
      <c r="K90" s="98"/>
      <c r="L90" s="71"/>
      <c r="M90" s="71"/>
      <c r="N90" s="71"/>
      <c r="O90" s="71"/>
      <c r="P90" s="71"/>
      <c r="Q90" s="71"/>
      <c r="R90" s="71"/>
    </row>
    <row r="91" spans="1:38" s="74" customFormat="1" ht="15.6" customHeight="1">
      <c r="A91" s="71"/>
      <c r="B91" s="78" t="s">
        <v>94</v>
      </c>
      <c r="C91" s="78"/>
      <c r="D91" s="140"/>
      <c r="E91" s="47">
        <f>+D94</f>
        <v>0</v>
      </c>
      <c r="F91" s="47">
        <f>+E94</f>
        <v>11.749999999999986</v>
      </c>
      <c r="G91" s="47">
        <f>+F94</f>
        <v>12.268074999999989</v>
      </c>
      <c r="H91" s="47">
        <f>+G94</f>
        <v>2.8335063124999849</v>
      </c>
      <c r="I91" s="47">
        <f>+H94</f>
        <v>0</v>
      </c>
      <c r="J91" s="99"/>
      <c r="K91" s="98"/>
      <c r="L91" s="71"/>
      <c r="M91" s="71"/>
      <c r="N91" s="71"/>
      <c r="O91" s="71"/>
      <c r="P91" s="71"/>
      <c r="Q91" s="71"/>
      <c r="R91" s="71"/>
    </row>
    <row r="92" spans="1:38" s="74" customFormat="1" ht="12" customHeight="1">
      <c r="A92" s="71"/>
      <c r="B92" s="78" t="s">
        <v>95</v>
      </c>
      <c r="C92" s="78"/>
      <c r="D92" s="141"/>
      <c r="E92" s="47">
        <f>IF(E74&lt;0,-E74,0)</f>
        <v>11.749999999999986</v>
      </c>
      <c r="F92" s="47">
        <f>IF(F74&lt;0,-F74,0)</f>
        <v>0.51807500000000317</v>
      </c>
      <c r="G92" s="47">
        <f>IF(G74&lt;0,-G74,0)</f>
        <v>0</v>
      </c>
      <c r="H92" s="47">
        <f>IF(H74&lt;0,-H74,0)</f>
        <v>0</v>
      </c>
      <c r="I92" s="47">
        <f>IF(I74&lt;0,-I74,0)</f>
        <v>0</v>
      </c>
      <c r="J92" s="99"/>
      <c r="K92" s="98"/>
      <c r="L92" s="71"/>
      <c r="M92" s="71"/>
      <c r="N92" s="71"/>
      <c r="O92" s="71"/>
      <c r="P92" s="71"/>
      <c r="Q92" s="71"/>
      <c r="R92" s="71"/>
    </row>
    <row r="93" spans="1:38" s="74" customFormat="1" ht="12" customHeight="1">
      <c r="A93" s="71"/>
      <c r="B93" s="78" t="s">
        <v>84</v>
      </c>
      <c r="C93" s="78"/>
      <c r="D93" s="141"/>
      <c r="E93" s="75">
        <f>IF(E74&gt;0,MAX(-E74,-E91),0)</f>
        <v>0</v>
      </c>
      <c r="F93" s="75">
        <f>IF(F74&gt;0,MAX(-F74,-F91),0)</f>
        <v>0</v>
      </c>
      <c r="G93" s="75">
        <f>IF(G74&gt;0,MAX(-G74,-G91),0)</f>
        <v>-9.4345686875000041</v>
      </c>
      <c r="H93" s="75">
        <f>IF(H74&gt;0,MAX(-H74,-H91),0)</f>
        <v>-2.8335063124999849</v>
      </c>
      <c r="I93" s="75">
        <f>IF(I74&gt;0,MAX(-I74,-I91),0)</f>
        <v>0</v>
      </c>
      <c r="J93" s="99"/>
      <c r="K93" s="98"/>
      <c r="L93" s="71"/>
      <c r="M93" s="71"/>
      <c r="N93" s="71"/>
      <c r="O93" s="71"/>
      <c r="P93" s="71"/>
      <c r="Q93" s="71"/>
      <c r="R93" s="71"/>
    </row>
    <row r="94" spans="1:38" s="74" customFormat="1" ht="15.6" customHeight="1">
      <c r="A94" s="71"/>
      <c r="B94" s="128" t="s">
        <v>96</v>
      </c>
      <c r="C94" s="128"/>
      <c r="D94" s="147">
        <v>0</v>
      </c>
      <c r="E94" s="77">
        <f>SUM(E91:E93)</f>
        <v>11.749999999999986</v>
      </c>
      <c r="F94" s="77">
        <f>SUM(F91:F93)</f>
        <v>12.268074999999989</v>
      </c>
      <c r="G94" s="77">
        <f>SUM(G91:G93)</f>
        <v>2.8335063124999849</v>
      </c>
      <c r="H94" s="77">
        <f>SUM(H91:H93)</f>
        <v>0</v>
      </c>
      <c r="I94" s="77">
        <f>SUM(I91:I93)</f>
        <v>0</v>
      </c>
      <c r="J94" s="100"/>
      <c r="K94" s="98"/>
      <c r="L94" s="71"/>
      <c r="M94" s="71"/>
      <c r="N94" s="71"/>
      <c r="O94" s="71"/>
      <c r="P94" s="71"/>
      <c r="Q94" s="71"/>
      <c r="R94" s="71"/>
    </row>
    <row r="95" spans="1:38" s="74" customFormat="1">
      <c r="A95" s="71"/>
      <c r="B95" s="69"/>
      <c r="C95" s="69"/>
      <c r="D95" s="69"/>
      <c r="E95" s="69"/>
      <c r="F95" s="69"/>
      <c r="G95" s="69"/>
      <c r="H95" s="69"/>
      <c r="I95" s="69"/>
      <c r="J95" s="112"/>
      <c r="K95" s="98"/>
      <c r="L95" s="71"/>
      <c r="M95" s="71"/>
      <c r="N95" s="71"/>
      <c r="O95" s="71"/>
      <c r="P95" s="71"/>
      <c r="Q95" s="71"/>
      <c r="R95" s="71"/>
    </row>
    <row r="96" spans="1:38" s="78" customFormat="1"/>
    <row r="97" s="78" customFormat="1"/>
    <row r="98" s="78" customFormat="1"/>
    <row r="99" s="78" customFormat="1"/>
    <row r="100" s="78" customFormat="1"/>
    <row r="101" s="78" customFormat="1"/>
    <row r="102" s="78" customFormat="1"/>
    <row r="103" s="78" customFormat="1"/>
    <row r="104" s="78" customFormat="1"/>
    <row r="105" s="78" customFormat="1"/>
  </sheetData>
  <phoneticPr fontId="0" type="noConversion"/>
  <pageMargins left="0.74803149606299213" right="0.74803149606299213" top="0.19685039370078741" bottom="0.19685039370078741" header="0.51181102362204722" footer="0.51181102362204722"/>
  <pageSetup paperSize="9" scale="82" fitToHeight="2" orientation="landscape" r:id="rId1"/>
  <headerFooter alignWithMargins="0"/>
  <rowBreaks count="2" manualBreakCount="2">
    <brk id="39" min="1" max="8" man="1"/>
    <brk id="63" min="1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BACourseMaterial" ma:contentTypeID="0x010100EA97AF951840F1458D70C7F478190E2B0014754CA40AFB1B48A780A22FD30146CD" ma:contentTypeVersion="24" ma:contentTypeDescription="" ma:contentTypeScope="" ma:versionID="02b3f41474a62bdb715b8cebc288c431">
  <xsd:schema xmlns:xsd="http://www.w3.org/2001/XMLSchema" xmlns:xs="http://www.w3.org/2001/XMLSchema" xmlns:p="http://schemas.microsoft.com/office/2006/metadata/properties" xmlns:ns2="d2d60aa6-0f87-417d-adec-4fddfba88fdb" xmlns:ns4="771074f6-ffed-4cbb-8138-a92c44935728" targetNamespace="http://schemas.microsoft.com/office/2006/metadata/properties" ma:root="true" ma:fieldsID="497263ae3ee36ecf44e179248b95f13f" ns2:_="" ns4:_="">
    <xsd:import namespace="d2d60aa6-0f87-417d-adec-4fddfba88fdb"/>
    <xsd:import namespace="771074f6-ffed-4cbb-8138-a92c4493572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DocumentComments" minOccurs="0"/>
                <xsd:element ref="ns2:MaterialType" minOccurs="0"/>
                <xsd:element ref="ns4:LookupLecture" minOccurs="0"/>
                <xsd:element ref="ns4:LookupLecture_x003a_LectureNo" minOccurs="0"/>
                <xsd:element ref="ns4:LookupCourseCode" minOccurs="0"/>
                <xsd:element ref="ns4:ContentDescription" minOccurs="0"/>
                <xsd:element ref="ns4:ContentURL0" minOccurs="0"/>
                <xsd:element ref="ns4:PriorityOrder" minOccurs="0"/>
                <xsd:element ref="ns4:Publish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60aa6-0f87-417d-adec-4fddfba88fdb" elementFormDefault="qualified">
    <xsd:import namespace="http://schemas.microsoft.com/office/2006/documentManagement/types"/>
    <xsd:import namespace="http://schemas.microsoft.com/office/infopath/2007/PartnerControls"/>
    <xsd:element name="DocumentName" ma:index="8" nillable="true" ma:displayName="DocumentName" ma:internalName="DocumentName">
      <xsd:simpleType>
        <xsd:restriction base="dms:Text">
          <xsd:maxLength value="255"/>
        </xsd:restriction>
      </xsd:simpleType>
    </xsd:element>
    <xsd:element name="DocumentComments" ma:index="9" nillable="true" ma:displayName="DocumentComments" ma:internalName="DocumentComments">
      <xsd:simpleType>
        <xsd:restriction base="dms:Text">
          <xsd:maxLength value="255"/>
        </xsd:restriction>
      </xsd:simpleType>
    </xsd:element>
    <xsd:element name="MaterialType" ma:index="10" nillable="true" ma:displayName="MaterialType" ma:default="Presentation slides" ma:format="Dropdown" ma:internalName="MaterialType">
      <xsd:simpleType>
        <xsd:restriction base="dms:Choice">
          <xsd:enumeration value="Presentation slides"/>
          <xsd:enumeration value="Additional readings"/>
          <xsd:enumeration value="Assignment/Essay question"/>
          <xsd:enumeration value="Book(s)"/>
          <xsd:enumeration value="Case study"/>
          <xsd:enumeration value="Exercise/Exercise solution"/>
          <xsd:enumeration value="Homework"/>
          <xsd:enumeration value="Links"/>
          <xsd:enumeration value="Mock exam/Exam crib"/>
          <xsd:enumeration value="Past exam paper"/>
          <xsd:enumeration value="Student presentation slides"/>
          <xsd:enumeration value="Excel spread sheet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74f6-ffed-4cbb-8138-a92c44935728" elementFormDefault="qualified">
    <xsd:import namespace="http://schemas.microsoft.com/office/2006/documentManagement/types"/>
    <xsd:import namespace="http://schemas.microsoft.com/office/infopath/2007/PartnerControls"/>
    <xsd:element name="LookupLecture" ma:index="12" nillable="true" ma:displayName="LookupLecture" ma:list="{67ab91be-bed4-42e5-9e61-cf9ff7405873}" ma:internalName="LookupLecture" ma:readOnly="false" ma:showField="Title">
      <xsd:simpleType>
        <xsd:restriction base="dms:Lookup"/>
      </xsd:simpleType>
    </xsd:element>
    <xsd:element name="LookupLecture_x003a_LectureNo" ma:index="13" nillable="true" ma:displayName="LookupLecture:LectureNo" ma:list="{67ab91be-bed4-42e5-9e61-cf9ff7405873}" ma:internalName="LookupLecture_x003a_LectureNo" ma:readOnly="true" ma:showField="LectureNo" ma:web="fcef66d0-512f-4975-8996-b39df460d4fa">
      <xsd:simpleType>
        <xsd:restriction base="dms:Lookup"/>
      </xsd:simpleType>
    </xsd:element>
    <xsd:element name="LookupCourseCode" ma:index="14" nillable="true" ma:displayName="LookupCourseCode" ma:list="{0d3bdb70-3266-4771-a85f-8ef947531da7}" ma:internalName="LookupCourseCode" ma:showField="CourseCode">
      <xsd:simpleType>
        <xsd:restriction base="dms:Lookup"/>
      </xsd:simpleType>
    </xsd:element>
    <xsd:element name="ContentDescription" ma:index="15" nillable="true" ma:displayName="ContentDescription" ma:internalName="ContentDescription">
      <xsd:simpleType>
        <xsd:restriction base="dms:Note">
          <xsd:maxLength value="255"/>
        </xsd:restriction>
      </xsd:simpleType>
    </xsd:element>
    <xsd:element name="ContentURL0" ma:index="16" nillable="true" ma:displayName="ContentURL0" ma:internalName="ContentURL0">
      <xsd:simpleType>
        <xsd:restriction base="dms:Text">
          <xsd:maxLength value="255"/>
        </xsd:restriction>
      </xsd:simpleType>
    </xsd:element>
    <xsd:element name="PriorityOrder" ma:index="17" nillable="true" ma:displayName="PriorityOrder" ma:decimals="0" ma:internalName="PriorityOrder">
      <xsd:simpleType>
        <xsd:restriction base="dms:Number"/>
      </xsd:simpleType>
    </xsd:element>
    <xsd:element name="PublishDate" ma:index="18" nillable="true" ma:displayName="PublishDate" ma:format="DateOnly" ma:internalName="Publish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URL0 xmlns="771074f6-ffed-4cbb-8138-a92c44935728" xsi:nil="true"/>
    <PublishDate xmlns="771074f6-ffed-4cbb-8138-a92c44935728">2015-04-21T07:07:22+00:00</PublishDate>
    <LookupCourseCode xmlns="771074f6-ffed-4cbb-8138-a92c44935728">97</LookupCourseCode>
    <DocumentComments xmlns="d2d60aa6-0f87-417d-adec-4fddfba88fdb" xsi:nil="true"/>
    <MaterialType xmlns="d2d60aa6-0f87-417d-adec-4fddfba88fdb">Excel spread sheet</MaterialType>
    <DocumentName xmlns="d2d60aa6-0f87-417d-adec-4fddfba88fdb" xsi:nil="true"/>
    <LookupLecture xmlns="771074f6-ffed-4cbb-8138-a92c44935728">402</LookupLecture>
    <PriorityOrder xmlns="771074f6-ffed-4cbb-8138-a92c44935728">8</PriorityOrder>
    <ContentDescription xmlns="771074f6-ffed-4cbb-8138-a92c44935728" xsi:nil="true"/>
  </documentManagement>
</p:properties>
</file>

<file path=customXml/itemProps1.xml><?xml version="1.0" encoding="utf-8"?>
<ds:datastoreItem xmlns:ds="http://schemas.openxmlformats.org/officeDocument/2006/customXml" ds:itemID="{02CDE762-5534-4D9B-BE35-30A9629886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C7E60A-22CF-444E-BAA3-249DA0DC05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60aa6-0f87-417d-adec-4fddfba88fdb"/>
    <ds:schemaRef ds:uri="771074f6-ffed-4cbb-8138-a92c449357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F4F505-664D-40D6-9255-FFCAF83D1CF7}">
  <ds:schemaRefs>
    <ds:schemaRef ds:uri="http://purl.org/dc/dcmitype/"/>
    <ds:schemaRef ds:uri="http://schemas.microsoft.com/office/2006/metadata/properties"/>
    <ds:schemaRef ds:uri="d2d60aa6-0f87-417d-adec-4fddfba88fdb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71074f6-ffed-4cbb-8138-a92c4493572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Assumptions - ABC Industries</vt:lpstr>
      <vt:lpstr>Financials  - ABC Industries</vt:lpstr>
      <vt:lpstr>Supp Schedule - ABC Industries</vt:lpstr>
      <vt:lpstr>'Financials  - ABC Industries'!LBOMinCash</vt:lpstr>
      <vt:lpstr>'Financials  - ABC Industries'!Print_Area</vt:lpstr>
      <vt:lpstr>'Supp Schedule - ABC Industries'!Print_Area</vt:lpstr>
      <vt:lpstr>'Financials  - ABC Industries'!Print_Titles</vt:lpstr>
      <vt:lpstr>'Supp Schedule - ABC Industries'!Print_Titles</vt:lpstr>
      <vt:lpstr>'Supp Schedule - ABC Industries'!SLTax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Shark Michael</cp:lastModifiedBy>
  <cp:lastPrinted>2011-12-22T11:57:24Z</cp:lastPrinted>
  <dcterms:created xsi:type="dcterms:W3CDTF">2002-12-09T23:46:15Z</dcterms:created>
  <dcterms:modified xsi:type="dcterms:W3CDTF">2015-05-25T19:07:54Z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-141189938</vt:i4>
  </property>
  <property fmtid="{D5CDD505-2E9C-101B-9397-08002B2CF9AE}" pid="3" name="_EmailSubject">
    <vt:lpwstr/>
  </property>
  <property fmtid="{D5CDD505-2E9C-101B-9397-08002B2CF9AE}" pid="4" name="_AuthorEmail">
    <vt:lpwstr>andrei@dikouchin.fsnet.co.uk</vt:lpwstr>
  </property>
  <property fmtid="{D5CDD505-2E9C-101B-9397-08002B2CF9AE}" pid="5" name="_AuthorEmailDisplayName">
    <vt:lpwstr>Andrei Dikouchine</vt:lpwstr>
  </property>
  <property fmtid="{D5CDD505-2E9C-101B-9397-08002B2CF9AE}" pid="6" name="_PreviousAdHocReviewCycleID">
    <vt:i4>-706715852</vt:i4>
  </property>
  <property fmtid="{D5CDD505-2E9C-101B-9397-08002B2CF9AE}" pid="7" name="_ReviewingToolsShownOnce">
    <vt:lpwstr/>
  </property>
  <property fmtid="{D5CDD505-2E9C-101B-9397-08002B2CF9AE}" pid="8" name="ContentTypeId">
    <vt:lpwstr>0x010100EA97AF951840F1458D70C7F478190E2B0014754CA40AFB1B48A780A22FD30146CD</vt:lpwstr>
  </property>
</Properties>
</file>