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900" windowHeight="12135"/>
  </bookViews>
  <sheets>
    <sheet name="Model" sheetId="1" r:id="rId1"/>
    <sheet name="Sensitivity" sheetId="2" r:id="rId2"/>
    <sheet name="Present Value calculation" sheetId="3" r:id="rId3"/>
  </sheets>
  <calcPr calcId="145621"/>
</workbook>
</file>

<file path=xl/calcChain.xml><?xml version="1.0" encoding="utf-8"?>
<calcChain xmlns="http://schemas.openxmlformats.org/spreadsheetml/2006/main">
  <c r="G8" i="1" l="1"/>
  <c r="H32" i="1"/>
  <c r="I32" i="1"/>
  <c r="J32" i="1"/>
  <c r="G32" i="1"/>
  <c r="E15" i="1"/>
  <c r="G33" i="1"/>
  <c r="G34" i="1"/>
  <c r="G36" i="1" s="1"/>
  <c r="G38" i="1" s="1"/>
  <c r="G40" i="1" s="1"/>
  <c r="H33" i="1"/>
  <c r="H34" i="1" s="1"/>
  <c r="I33" i="1"/>
  <c r="J50" i="1"/>
  <c r="J51" i="1"/>
  <c r="C73" i="1"/>
  <c r="G6" i="1"/>
  <c r="G9" i="1" s="1"/>
  <c r="H5" i="1"/>
  <c r="H7" i="1"/>
  <c r="H8" i="1"/>
  <c r="H4" i="1"/>
  <c r="D23" i="3"/>
  <c r="H37" i="1"/>
  <c r="H44" i="1"/>
  <c r="H58" i="1"/>
  <c r="F4" i="3"/>
  <c r="I37" i="1"/>
  <c r="I44" i="1"/>
  <c r="I58" i="1"/>
  <c r="G4" i="3"/>
  <c r="J37" i="1"/>
  <c r="J44" i="1"/>
  <c r="J49" i="1"/>
  <c r="J58" i="1"/>
  <c r="H4" i="3" s="1"/>
  <c r="G37" i="1"/>
  <c r="G44" i="1" s="1"/>
  <c r="G58" i="1"/>
  <c r="E4" i="3" s="1"/>
  <c r="F29" i="1"/>
  <c r="I4" i="1" s="1"/>
  <c r="D70" i="1" s="1"/>
  <c r="F58" i="1"/>
  <c r="D4" i="3" s="1"/>
  <c r="J17" i="1"/>
  <c r="K17" i="1" s="1"/>
  <c r="L17" i="1" s="1"/>
  <c r="J18" i="1" s="1"/>
  <c r="L18" i="1" s="1"/>
  <c r="J19" i="1" s="1"/>
  <c r="K18" i="1"/>
  <c r="I34" i="1"/>
  <c r="J33" i="1"/>
  <c r="J34" i="1" s="1"/>
  <c r="J52" i="1"/>
  <c r="H6" i="1"/>
  <c r="I6" i="1"/>
  <c r="D67" i="1" s="1"/>
  <c r="I36" i="1"/>
  <c r="I38" i="1" s="1"/>
  <c r="I40" i="1" s="1"/>
  <c r="I41" i="1" l="1"/>
  <c r="I42" i="1" s="1"/>
  <c r="I45" i="1" s="1"/>
  <c r="I59" i="1" s="1"/>
  <c r="G6" i="3" s="1"/>
  <c r="G8" i="3" s="1"/>
  <c r="J36" i="1"/>
  <c r="J38" i="1" s="1"/>
  <c r="J40" i="1" s="1"/>
  <c r="H36" i="1"/>
  <c r="H38" i="1" s="1"/>
  <c r="H40" i="1" s="1"/>
  <c r="D73" i="1"/>
  <c r="I67" i="1"/>
  <c r="H9" i="1"/>
  <c r="D54" i="1" s="1"/>
  <c r="C54" i="1"/>
  <c r="F12" i="1"/>
  <c r="G41" i="1"/>
  <c r="G42" i="1" s="1"/>
  <c r="G45" i="1" s="1"/>
  <c r="G59" i="1" s="1"/>
  <c r="E6" i="3" s="1"/>
  <c r="E8" i="3" s="1"/>
  <c r="K19" i="1"/>
  <c r="L19" i="1" s="1"/>
  <c r="J20" i="1" s="1"/>
  <c r="L20" i="1" s="1"/>
  <c r="K20" i="1"/>
  <c r="F59" i="1"/>
  <c r="H41" i="1" l="1"/>
  <c r="H42" i="1" s="1"/>
  <c r="H45" i="1" s="1"/>
  <c r="H59" i="1" s="1"/>
  <c r="J41" i="1"/>
  <c r="J42" i="1" s="1"/>
  <c r="J45" i="1" s="1"/>
  <c r="J59" i="1" s="1"/>
  <c r="H6" i="3" s="1"/>
  <c r="H8" i="3" s="1"/>
  <c r="D6" i="3"/>
  <c r="E63" i="1"/>
  <c r="F6" i="3" l="1"/>
  <c r="E62" i="1"/>
  <c r="J61" i="1"/>
  <c r="C61" i="1" l="1"/>
  <c r="H67" i="1"/>
  <c r="H73" i="1" s="1"/>
  <c r="F8" i="3"/>
  <c r="C11" i="3" s="1"/>
  <c r="C14" i="3" s="1"/>
  <c r="C20" i="3"/>
  <c r="C23" i="3" s="1"/>
  <c r="G17" i="1" l="1"/>
  <c r="J71" i="1"/>
  <c r="I70" i="1"/>
  <c r="I73" i="1" s="1"/>
</calcChain>
</file>

<file path=xl/comments1.xml><?xml version="1.0" encoding="utf-8"?>
<comments xmlns="http://schemas.openxmlformats.org/spreadsheetml/2006/main">
  <authors>
    <author>Steiner Consulting Group</author>
  </authors>
  <commentList>
    <comment ref="F12" authorId="0">
      <text>
        <r>
          <rPr>
            <b/>
            <sz val="8"/>
            <color indexed="81"/>
            <rFont val="Tahoma"/>
          </rPr>
          <t>You can adjust this measure with a percentage or additive change using the sensitivity inputs in F13 and F14.</t>
        </r>
      </text>
    </comment>
    <comment ref="H12" authorId="0">
      <text>
        <r>
          <rPr>
            <b/>
            <sz val="8"/>
            <color indexed="81"/>
            <rFont val="Tahoma"/>
          </rPr>
          <t>The inflation is important to adjust as the case problems use a couple different assumptions.</t>
        </r>
      </text>
    </comment>
    <comment ref="D18" authorId="0">
      <text>
        <r>
          <rPr>
            <b/>
            <sz val="8"/>
            <color indexed="81"/>
            <rFont val="Tahoma"/>
          </rPr>
          <t xml:space="preserve">You can make a percentage change to the sales forecasts within the cash flow calculations, see row 32.
</t>
        </r>
      </text>
    </comment>
  </commentList>
</comments>
</file>

<file path=xl/sharedStrings.xml><?xml version="1.0" encoding="utf-8"?>
<sst xmlns="http://schemas.openxmlformats.org/spreadsheetml/2006/main" count="99" uniqueCount="84">
  <si>
    <t>Equipment Costs</t>
  </si>
  <si>
    <t>Installation</t>
  </si>
  <si>
    <t>Increase in inventory</t>
  </si>
  <si>
    <t>I.   (Initial) Investment Outlay</t>
  </si>
  <si>
    <t>II.   Operating Cash Flows</t>
  </si>
  <si>
    <t>Unit Sales (Thousands)</t>
  </si>
  <si>
    <t>Price/Unit</t>
  </si>
  <si>
    <t>Total Revenues</t>
  </si>
  <si>
    <t>Operating Costs (excluding depreciation)</t>
  </si>
  <si>
    <t>Depreciation</t>
  </si>
  <si>
    <t>Total Costs</t>
  </si>
  <si>
    <t>Operating Income before taxes</t>
  </si>
  <si>
    <t>Taxes on operating income</t>
  </si>
  <si>
    <t>Operating Income after taxes</t>
  </si>
  <si>
    <t>Operating Cash Flow</t>
  </si>
  <si>
    <t>III.   Terminal Cash Flows</t>
  </si>
  <si>
    <t>Inputs:</t>
  </si>
  <si>
    <t>Price</t>
  </si>
  <si>
    <t>Tax rate</t>
  </si>
  <si>
    <t>Inflation</t>
  </si>
  <si>
    <t>Total Net Investment</t>
  </si>
  <si>
    <t>Costs</t>
  </si>
  <si>
    <t>Dep</t>
  </si>
  <si>
    <t>Return of net operating working capital (increase in inv - increase in ap)</t>
  </si>
  <si>
    <t>Increase in accounts payable</t>
  </si>
  <si>
    <t>Salvage value</t>
  </si>
  <si>
    <t>Tax on salvage value</t>
  </si>
  <si>
    <t>Total Terminal Cash Flow</t>
  </si>
  <si>
    <t>Year</t>
  </si>
  <si>
    <t>BV begin</t>
  </si>
  <si>
    <t>BV end</t>
  </si>
  <si>
    <t>Net Cash Flows</t>
  </si>
  <si>
    <t>NPV</t>
  </si>
  <si>
    <t>IRR</t>
  </si>
  <si>
    <t>NPV=Pvinflows - PV outflows = "value" - "cost"</t>
  </si>
  <si>
    <t>Assuming a 5% inflation</t>
  </si>
  <si>
    <t>Unit Sales % Adjustment</t>
  </si>
  <si>
    <t>Results</t>
  </si>
  <si>
    <t>Time Line</t>
  </si>
  <si>
    <t>Cash Flows</t>
  </si>
  <si>
    <t>(notice, the "cost" or PV outflows is already expressed as a negative)</t>
  </si>
  <si>
    <t>OR</t>
  </si>
  <si>
    <t>Sum of PV of each CFs</t>
  </si>
  <si>
    <t>PV of each CFs</t>
  </si>
  <si>
    <t>PV of CFs (using the Excel NPV function)</t>
  </si>
  <si>
    <t>Required return by stockhodlers (ks)</t>
  </si>
  <si>
    <t>% funds from bondholders</t>
  </si>
  <si>
    <t>Required return by bondholders (kd)</t>
  </si>
  <si>
    <t>% funds from stockholders</t>
  </si>
  <si>
    <t>WACC or "k"</t>
  </si>
  <si>
    <t>decimal</t>
  </si>
  <si>
    <t>percentage</t>
  </si>
  <si>
    <t>After tax required return by bondholders [kd*(1-t)]</t>
  </si>
  <si>
    <t>Depreciation schedule</t>
  </si>
  <si>
    <t>STEP 1: Estimate Cash Flows</t>
  </si>
  <si>
    <t>STEP 2: WACC</t>
  </si>
  <si>
    <t>STEP 3: Evaluate Cash Flows</t>
  </si>
  <si>
    <t>dollars invested</t>
  </si>
  <si>
    <t>stockholder</t>
  </si>
  <si>
    <t>bondholder</t>
  </si>
  <si>
    <t>Analysis of Funds need for Project</t>
  </si>
  <si>
    <t>Project's</t>
  </si>
  <si>
    <t>Asset</t>
  </si>
  <si>
    <t>Cost</t>
  </si>
  <si>
    <t>Funds</t>
  </si>
  <si>
    <t>from bondholders</t>
  </si>
  <si>
    <t>from stockholders</t>
  </si>
  <si>
    <t>Analysis of the Value of the Project</t>
  </si>
  <si>
    <t>Value</t>
  </si>
  <si>
    <t>PV inflows ("value")</t>
  </si>
  <si>
    <t>PV outflows ("costs")</t>
  </si>
  <si>
    <t>claimed by bondholder</t>
  </si>
  <si>
    <t>claimed by stockholder</t>
  </si>
  <si>
    <t>Total cost</t>
  </si>
  <si>
    <t>Total funding</t>
  </si>
  <si>
    <t>Total value</t>
  </si>
  <si>
    <t>Total claims on value</t>
  </si>
  <si>
    <t>Unit sales</t>
  </si>
  <si>
    <t>sensitivity (add)</t>
  </si>
  <si>
    <t>sensitivity (%)</t>
  </si>
  <si>
    <t>k (%)</t>
  </si>
  <si>
    <t>PROJECT</t>
  </si>
  <si>
    <t>Note: To include a 5% inflation in the model, enter 0.05 in cell H3.</t>
  </si>
  <si>
    <t>Note: To perform sensitivity analysis on unit sales, enter -0.2, -0.1, 0, 0.1, 0.2 in cell D9.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</si>
</sst>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0"/>
    <numFmt numFmtId="165" formatCode="0.000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name val="Arial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8" fontId="0" fillId="0" borderId="11" xfId="0" applyNumberFormat="1" applyBorder="1"/>
    <xf numFmtId="164" fontId="1" fillId="0" borderId="0" xfId="0" applyNumberFormat="1" applyFont="1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0" fontId="5" fillId="0" borderId="1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8" xfId="0" applyFont="1" applyBorder="1"/>
    <xf numFmtId="0" fontId="7" fillId="0" borderId="3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7" xfId="0" applyFont="1" applyBorder="1"/>
    <xf numFmtId="0" fontId="6" fillId="0" borderId="11" xfId="0" applyFont="1" applyBorder="1"/>
    <xf numFmtId="164" fontId="6" fillId="0" borderId="0" xfId="0" applyNumberFormat="1" applyFont="1" applyBorder="1"/>
    <xf numFmtId="10" fontId="6" fillId="0" borderId="18" xfId="0" applyNumberFormat="1" applyFont="1" applyBorder="1"/>
    <xf numFmtId="0" fontId="6" fillId="0" borderId="18" xfId="0" applyFont="1" applyBorder="1"/>
    <xf numFmtId="0" fontId="6" fillId="0" borderId="12" xfId="0" applyFont="1" applyBorder="1"/>
    <xf numFmtId="0" fontId="6" fillId="0" borderId="19" xfId="0" applyFont="1" applyBorder="1"/>
    <xf numFmtId="0" fontId="6" fillId="0" borderId="11" xfId="0" applyFont="1" applyFill="1" applyBorder="1"/>
    <xf numFmtId="164" fontId="6" fillId="0" borderId="0" xfId="0" applyNumberFormat="1" applyFont="1" applyFill="1" applyBorder="1"/>
    <xf numFmtId="0" fontId="6" fillId="0" borderId="20" xfId="0" applyFont="1" applyFill="1" applyBorder="1"/>
    <xf numFmtId="0" fontId="6" fillId="0" borderId="21" xfId="0" applyFont="1" applyBorder="1"/>
    <xf numFmtId="164" fontId="6" fillId="0" borderId="21" xfId="0" applyNumberFormat="1" applyFont="1" applyBorder="1"/>
    <xf numFmtId="10" fontId="6" fillId="0" borderId="22" xfId="0" applyNumberFormat="1" applyFont="1" applyBorder="1"/>
    <xf numFmtId="0" fontId="6" fillId="0" borderId="0" xfId="0" applyFont="1" applyFill="1" applyBorder="1"/>
    <xf numFmtId="0" fontId="7" fillId="0" borderId="0" xfId="0" applyFont="1" applyBorder="1"/>
    <xf numFmtId="0" fontId="6" fillId="0" borderId="17" xfId="0" applyFont="1" applyBorder="1" applyAlignment="1">
      <alignment horizontal="center"/>
    </xf>
    <xf numFmtId="0" fontId="6" fillId="0" borderId="14" xfId="0" applyFont="1" applyBorder="1"/>
    <xf numFmtId="0" fontId="6" fillId="0" borderId="19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6" fillId="0" borderId="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/>
    <xf numFmtId="0" fontId="6" fillId="0" borderId="12" xfId="0" applyFont="1" applyBorder="1" applyAlignment="1">
      <alignment horizontal="center"/>
    </xf>
    <xf numFmtId="10" fontId="6" fillId="0" borderId="19" xfId="0" applyNumberFormat="1" applyFont="1" applyBorder="1"/>
    <xf numFmtId="0" fontId="6" fillId="0" borderId="0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7" fillId="0" borderId="8" xfId="0" applyFont="1" applyBorder="1"/>
    <xf numFmtId="0" fontId="8" fillId="0" borderId="0" xfId="0" applyFont="1" applyBorder="1"/>
    <xf numFmtId="2" fontId="6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 applyBorder="1"/>
    <xf numFmtId="0" fontId="7" fillId="0" borderId="0" xfId="0" applyFont="1" applyFill="1" applyBorder="1"/>
    <xf numFmtId="10" fontId="6" fillId="0" borderId="0" xfId="0" applyNumberFormat="1" applyFont="1" applyBorder="1"/>
    <xf numFmtId="2" fontId="6" fillId="0" borderId="13" xfId="0" applyNumberFormat="1" applyFont="1" applyBorder="1"/>
    <xf numFmtId="2" fontId="6" fillId="0" borderId="19" xfId="0" applyNumberFormat="1" applyFont="1" applyBorder="1"/>
    <xf numFmtId="0" fontId="6" fillId="0" borderId="23" xfId="0" applyFont="1" applyBorder="1"/>
    <xf numFmtId="0" fontId="6" fillId="0" borderId="24" xfId="0" applyFont="1" applyBorder="1"/>
    <xf numFmtId="10" fontId="6" fillId="0" borderId="13" xfId="0" applyNumberFormat="1" applyFont="1" applyBorder="1"/>
    <xf numFmtId="2" fontId="6" fillId="0" borderId="11" xfId="0" applyNumberFormat="1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16" xfId="0" applyFont="1" applyBorder="1"/>
    <xf numFmtId="2" fontId="6" fillId="0" borderId="7" xfId="0" applyNumberFormat="1" applyFont="1" applyBorder="1"/>
    <xf numFmtId="2" fontId="6" fillId="0" borderId="16" xfId="0" applyNumberFormat="1" applyFont="1" applyBorder="1"/>
    <xf numFmtId="0" fontId="6" fillId="0" borderId="5" xfId="0" applyFont="1" applyBorder="1"/>
    <xf numFmtId="0" fontId="6" fillId="0" borderId="0" xfId="0" applyFont="1"/>
    <xf numFmtId="0" fontId="7" fillId="0" borderId="1" xfId="0" applyFont="1" applyBorder="1"/>
    <xf numFmtId="0" fontId="6" fillId="0" borderId="7" xfId="0" applyFont="1" applyFill="1" applyBorder="1"/>
    <xf numFmtId="164" fontId="6" fillId="0" borderId="7" xfId="0" applyNumberFormat="1" applyFont="1" applyBorder="1"/>
    <xf numFmtId="10" fontId="6" fillId="0" borderId="7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2" xfId="0" applyFont="1" applyFill="1" applyBorder="1"/>
    <xf numFmtId="0" fontId="10" fillId="0" borderId="12" xfId="0" applyFont="1" applyBorder="1"/>
    <xf numFmtId="0" fontId="10" fillId="0" borderId="11" xfId="0" applyFont="1" applyBorder="1"/>
    <xf numFmtId="165" fontId="6" fillId="0" borderId="17" xfId="0" applyNumberFormat="1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10" fontId="6" fillId="0" borderId="19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0" fontId="7" fillId="0" borderId="10" xfId="0" applyFont="1" applyBorder="1"/>
    <xf numFmtId="2" fontId="7" fillId="0" borderId="10" xfId="0" applyNumberFormat="1" applyFont="1" applyBorder="1"/>
    <xf numFmtId="165" fontId="7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Sensitivity of NPV to unit sales adjustment (%)</a:t>
            </a:r>
          </a:p>
        </c:rich>
      </c:tx>
      <c:layout>
        <c:manualLayout>
          <c:xMode val="edge"/>
          <c:yMode val="edge"/>
          <c:x val="0.14693891834949202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8586613236891"/>
          <c:y val="0.22074496751496986"/>
          <c:w val="0.75646359011425135"/>
          <c:h val="0.55851136359209241"/>
        </c:manualLayout>
      </c:layout>
      <c:lineChart>
        <c:grouping val="stacked"/>
        <c:varyColors val="0"/>
        <c:ser>
          <c:idx val="1"/>
          <c:order val="0"/>
          <c:tx>
            <c:strRef>
              <c:f>Sensitivity!$C$8</c:f>
              <c:strCache>
                <c:ptCount val="1"/>
                <c:pt idx="0">
                  <c:v>NPV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Sensitivity!$B$9:$B$13</c:f>
              <c:numCache>
                <c:formatCode>0.00</c:formatCode>
                <c:ptCount val="5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</c:numCache>
            </c:numRef>
          </c:cat>
          <c:val>
            <c:numRef>
              <c:f>Sensitivity!$C$9:$C$13</c:f>
              <c:numCache>
                <c:formatCode>General</c:formatCode>
                <c:ptCount val="5"/>
                <c:pt idx="0">
                  <c:v>-19.260000000000002</c:v>
                </c:pt>
                <c:pt idx="1">
                  <c:v>-2.15</c:v>
                </c:pt>
                <c:pt idx="2">
                  <c:v>14.97</c:v>
                </c:pt>
                <c:pt idx="3">
                  <c:v>32.08</c:v>
                </c:pt>
                <c:pt idx="4">
                  <c:v>49.2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4656"/>
        <c:axId val="117982720"/>
      </c:lineChart>
      <c:catAx>
        <c:axId val="1124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adjustment to unit sales</a:t>
                </a:r>
              </a:p>
            </c:rich>
          </c:tx>
          <c:layout>
            <c:manualLayout>
              <c:xMode val="edge"/>
              <c:yMode val="edge"/>
              <c:x val="0.30340178906208148"/>
              <c:y val="0.882979840285921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8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82720"/>
        <c:scaling>
          <c:orientation val="minMax"/>
          <c:max val="5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NPV</a:t>
                </a:r>
              </a:p>
            </c:rich>
          </c:tx>
          <c:layout>
            <c:manualLayout>
              <c:xMode val="edge"/>
              <c:yMode val="edge"/>
              <c:x val="2.1768707482993196E-2"/>
              <c:y val="0.44680906907913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54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71542842858919"/>
          <c:y val="0.46808566482381192"/>
          <c:w val="0.98911693181209481"/>
          <c:h val="0.53457502652593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85725</xdr:rowOff>
    </xdr:from>
    <xdr:to>
      <xdr:col>14</xdr:col>
      <xdr:colOff>476250</xdr:colOff>
      <xdr:row>20</xdr:row>
      <xdr:rowOff>104775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showGridLines="0" tabSelected="1" topLeftCell="A7" workbookViewId="0">
      <selection activeCell="P28" sqref="P28"/>
    </sheetView>
  </sheetViews>
  <sheetFormatPr defaultRowHeight="12.75" x14ac:dyDescent="0.2"/>
  <cols>
    <col min="1" max="2" width="7.7109375" style="85" customWidth="1"/>
    <col min="3" max="3" width="10.42578125" style="85" customWidth="1"/>
    <col min="4" max="4" width="8.5703125" style="85" customWidth="1"/>
    <col min="5" max="5" width="11.7109375" style="85" customWidth="1"/>
    <col min="6" max="12" width="7.7109375" style="85" customWidth="1"/>
  </cols>
  <sheetData>
    <row r="1" spans="1:12" x14ac:dyDescent="0.2">
      <c r="A1" s="29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x14ac:dyDescent="0.2">
      <c r="A3" s="35" t="s">
        <v>16</v>
      </c>
      <c r="B3" s="33"/>
      <c r="C3" s="36"/>
      <c r="D3" s="37"/>
      <c r="E3" s="37"/>
      <c r="F3" s="37"/>
      <c r="G3" s="37" t="s">
        <v>50</v>
      </c>
      <c r="H3" s="38" t="s">
        <v>51</v>
      </c>
      <c r="I3" s="36" t="s">
        <v>57</v>
      </c>
      <c r="J3" s="38"/>
      <c r="K3" s="33"/>
      <c r="L3" s="34"/>
    </row>
    <row r="4" spans="1:12" x14ac:dyDescent="0.2">
      <c r="A4" s="32"/>
      <c r="B4" s="33"/>
      <c r="C4" s="39" t="s">
        <v>48</v>
      </c>
      <c r="D4" s="33"/>
      <c r="E4" s="33"/>
      <c r="F4" s="33"/>
      <c r="G4" s="40">
        <v>0.8125</v>
      </c>
      <c r="H4" s="41">
        <f t="shared" ref="H4:H9" si="0">G4</f>
        <v>0.8125</v>
      </c>
      <c r="I4" s="39">
        <f>-H4*F29</f>
        <v>211.25</v>
      </c>
      <c r="J4" s="42" t="s">
        <v>58</v>
      </c>
      <c r="K4" s="33"/>
      <c r="L4" s="34"/>
    </row>
    <row r="5" spans="1:12" x14ac:dyDescent="0.2">
      <c r="A5" s="32"/>
      <c r="B5" s="33"/>
      <c r="C5" s="39" t="s">
        <v>45</v>
      </c>
      <c r="D5" s="33"/>
      <c r="E5" s="33"/>
      <c r="F5" s="33"/>
      <c r="G5" s="40">
        <v>0.112</v>
      </c>
      <c r="H5" s="41">
        <f t="shared" si="0"/>
        <v>0.112</v>
      </c>
      <c r="I5" s="39"/>
      <c r="J5" s="42"/>
      <c r="K5" s="33"/>
      <c r="L5" s="34"/>
    </row>
    <row r="6" spans="1:12" x14ac:dyDescent="0.2">
      <c r="A6" s="32"/>
      <c r="B6" s="33"/>
      <c r="C6" s="39" t="s">
        <v>46</v>
      </c>
      <c r="D6" s="33"/>
      <c r="E6" s="33"/>
      <c r="F6" s="33"/>
      <c r="G6" s="40">
        <f>1-G4</f>
        <v>0.1875</v>
      </c>
      <c r="H6" s="41">
        <f t="shared" si="0"/>
        <v>0.1875</v>
      </c>
      <c r="I6" s="43">
        <f>-H6*F29</f>
        <v>48.75</v>
      </c>
      <c r="J6" s="44" t="s">
        <v>59</v>
      </c>
      <c r="K6" s="33"/>
      <c r="L6" s="34"/>
    </row>
    <row r="7" spans="1:12" x14ac:dyDescent="0.2">
      <c r="A7" s="32"/>
      <c r="B7" s="33"/>
      <c r="C7" s="45" t="s">
        <v>47</v>
      </c>
      <c r="D7" s="33"/>
      <c r="E7" s="33"/>
      <c r="F7" s="33"/>
      <c r="G7" s="46">
        <v>0.08</v>
      </c>
      <c r="H7" s="41">
        <f t="shared" si="0"/>
        <v>0.08</v>
      </c>
      <c r="I7" s="33"/>
      <c r="J7" s="33"/>
      <c r="K7" s="33"/>
      <c r="L7" s="34"/>
    </row>
    <row r="8" spans="1:12" x14ac:dyDescent="0.2">
      <c r="A8" s="32"/>
      <c r="B8" s="33"/>
      <c r="C8" s="45" t="s">
        <v>52</v>
      </c>
      <c r="D8" s="33"/>
      <c r="E8" s="33"/>
      <c r="F8" s="33"/>
      <c r="G8" s="46">
        <f>G7*(1-D14)</f>
        <v>4.8000000000000001E-2</v>
      </c>
      <c r="H8" s="41">
        <f t="shared" si="0"/>
        <v>4.8000000000000001E-2</v>
      </c>
      <c r="I8" s="33"/>
      <c r="J8" s="33"/>
      <c r="K8" s="33"/>
      <c r="L8" s="34"/>
    </row>
    <row r="9" spans="1:12" x14ac:dyDescent="0.2">
      <c r="A9" s="32"/>
      <c r="B9" s="33"/>
      <c r="C9" s="47" t="s">
        <v>49</v>
      </c>
      <c r="D9" s="48"/>
      <c r="E9" s="48"/>
      <c r="F9" s="48"/>
      <c r="G9" s="49">
        <f>(G4*G5)+(G6*G8)</f>
        <v>0.1</v>
      </c>
      <c r="H9" s="50">
        <f t="shared" si="0"/>
        <v>0.1</v>
      </c>
      <c r="I9" s="33"/>
      <c r="J9" s="33"/>
      <c r="K9" s="33"/>
      <c r="L9" s="34"/>
    </row>
    <row r="10" spans="1:12" x14ac:dyDescent="0.2">
      <c r="A10" s="32"/>
      <c r="B10" s="33"/>
      <c r="C10" s="51"/>
      <c r="D10" s="33"/>
      <c r="E10" s="33"/>
      <c r="F10" s="33"/>
      <c r="G10" s="33"/>
      <c r="H10" s="33"/>
      <c r="I10" s="33"/>
      <c r="J10" s="33"/>
      <c r="K10" s="33"/>
      <c r="L10" s="34"/>
    </row>
    <row r="11" spans="1:12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x14ac:dyDescent="0.2">
      <c r="A12" s="32"/>
      <c r="B12" s="52"/>
      <c r="C12" s="36" t="s">
        <v>17</v>
      </c>
      <c r="D12" s="90">
        <v>2</v>
      </c>
      <c r="E12" s="36" t="s">
        <v>80</v>
      </c>
      <c r="F12" s="96">
        <f>(G9*(1+F13))+F14</f>
        <v>0.1</v>
      </c>
      <c r="G12" s="37" t="s">
        <v>19</v>
      </c>
      <c r="H12" s="99">
        <v>0</v>
      </c>
      <c r="I12" s="36" t="s">
        <v>22</v>
      </c>
      <c r="J12" s="37"/>
      <c r="K12" s="37"/>
      <c r="L12" s="54"/>
    </row>
    <row r="13" spans="1:12" x14ac:dyDescent="0.2">
      <c r="A13" s="35"/>
      <c r="B13" s="52"/>
      <c r="C13" s="43" t="s">
        <v>21</v>
      </c>
      <c r="D13" s="91">
        <v>0.6</v>
      </c>
      <c r="E13" s="95" t="s">
        <v>79</v>
      </c>
      <c r="F13" s="97">
        <v>0</v>
      </c>
      <c r="G13" s="56"/>
      <c r="H13" s="55"/>
      <c r="I13" s="43">
        <v>0.33</v>
      </c>
      <c r="J13" s="56">
        <v>0.45</v>
      </c>
      <c r="K13" s="56">
        <v>0.15</v>
      </c>
      <c r="L13" s="57">
        <v>7.0000000000000007E-2</v>
      </c>
    </row>
    <row r="14" spans="1:12" x14ac:dyDescent="0.2">
      <c r="A14" s="35"/>
      <c r="B14" s="52"/>
      <c r="C14" s="43" t="s">
        <v>18</v>
      </c>
      <c r="D14" s="91">
        <v>0.4</v>
      </c>
      <c r="E14" s="94" t="s">
        <v>78</v>
      </c>
      <c r="F14" s="98">
        <v>0</v>
      </c>
      <c r="G14" s="33"/>
      <c r="H14" s="58"/>
      <c r="I14" s="33"/>
      <c r="J14" s="33"/>
      <c r="K14" s="33"/>
      <c r="L14" s="34"/>
    </row>
    <row r="15" spans="1:12" x14ac:dyDescent="0.2">
      <c r="A15" s="35"/>
      <c r="B15" s="52"/>
      <c r="C15" s="36" t="s">
        <v>25</v>
      </c>
      <c r="D15" s="37"/>
      <c r="E15" s="92">
        <f>25*(1+E16)</f>
        <v>25</v>
      </c>
      <c r="F15" s="58"/>
      <c r="G15" s="33"/>
      <c r="H15" s="58"/>
      <c r="I15" s="36" t="s">
        <v>53</v>
      </c>
      <c r="J15" s="37"/>
      <c r="K15" s="37"/>
      <c r="L15" s="54"/>
    </row>
    <row r="16" spans="1:12" x14ac:dyDescent="0.2">
      <c r="A16" s="35"/>
      <c r="B16" s="52"/>
      <c r="C16" s="94" t="s">
        <v>79</v>
      </c>
      <c r="D16" s="56"/>
      <c r="E16" s="98">
        <v>0</v>
      </c>
      <c r="F16" s="90" t="s">
        <v>37</v>
      </c>
      <c r="G16" s="38"/>
      <c r="H16" s="58"/>
      <c r="I16" s="36" t="s">
        <v>28</v>
      </c>
      <c r="J16" s="37" t="s">
        <v>29</v>
      </c>
      <c r="K16" s="37" t="s">
        <v>22</v>
      </c>
      <c r="L16" s="54" t="s">
        <v>30</v>
      </c>
    </row>
    <row r="17" spans="1:12" x14ac:dyDescent="0.2">
      <c r="A17" s="35"/>
      <c r="B17" s="52"/>
      <c r="C17" s="36" t="s">
        <v>77</v>
      </c>
      <c r="D17" s="53">
        <v>100</v>
      </c>
      <c r="E17" s="33"/>
      <c r="F17" s="59" t="s">
        <v>32</v>
      </c>
      <c r="G17" s="60">
        <f>C61</f>
        <v>-4.03</v>
      </c>
      <c r="H17" s="58"/>
      <c r="I17" s="39">
        <v>1</v>
      </c>
      <c r="J17" s="33">
        <f>-(F25+F26)</f>
        <v>240</v>
      </c>
      <c r="K17" s="33">
        <f>$J$17*I13</f>
        <v>79.2</v>
      </c>
      <c r="L17" s="34">
        <f>J17-K17</f>
        <v>160.80000000000001</v>
      </c>
    </row>
    <row r="18" spans="1:12" x14ac:dyDescent="0.2">
      <c r="A18" s="35"/>
      <c r="B18" s="52"/>
      <c r="C18" s="93" t="s">
        <v>79</v>
      </c>
      <c r="D18" s="62">
        <v>0</v>
      </c>
      <c r="E18" s="33"/>
      <c r="F18" s="61" t="s">
        <v>33</v>
      </c>
      <c r="G18" s="62"/>
      <c r="H18" s="58"/>
      <c r="I18" s="39">
        <v>2</v>
      </c>
      <c r="J18" s="33">
        <f>L17</f>
        <v>160.80000000000001</v>
      </c>
      <c r="K18" s="33">
        <f>$J$17*J13</f>
        <v>108</v>
      </c>
      <c r="L18" s="34">
        <f>J18-K18</f>
        <v>52.800000000000011</v>
      </c>
    </row>
    <row r="19" spans="1:12" x14ac:dyDescent="0.2">
      <c r="A19" s="32"/>
      <c r="B19" s="33"/>
      <c r="C19" s="33"/>
      <c r="D19" s="33"/>
      <c r="E19" s="33"/>
      <c r="F19" s="63"/>
      <c r="G19" s="33"/>
      <c r="H19" s="33"/>
      <c r="I19" s="39">
        <v>3</v>
      </c>
      <c r="J19" s="33">
        <f>L18</f>
        <v>52.800000000000011</v>
      </c>
      <c r="K19" s="33">
        <f>$J$17*K13</f>
        <v>36</v>
      </c>
      <c r="L19" s="34">
        <f>J19-K19</f>
        <v>16.800000000000011</v>
      </c>
    </row>
    <row r="20" spans="1:12" ht="13.5" thickBot="1" x14ac:dyDescent="0.25">
      <c r="A20" s="79"/>
      <c r="B20" s="80"/>
      <c r="C20" s="80"/>
      <c r="D20" s="80"/>
      <c r="E20" s="80"/>
      <c r="F20" s="80"/>
      <c r="G20" s="80"/>
      <c r="H20" s="80"/>
      <c r="I20" s="81">
        <v>4</v>
      </c>
      <c r="J20" s="80">
        <f>L19</f>
        <v>16.800000000000011</v>
      </c>
      <c r="K20" s="80">
        <f>$J$17*L13</f>
        <v>16.8</v>
      </c>
      <c r="L20" s="84">
        <f>J20-K20</f>
        <v>0</v>
      </c>
    </row>
    <row r="21" spans="1:12" x14ac:dyDescent="0.2">
      <c r="A21" s="64" t="s">
        <v>54</v>
      </c>
      <c r="B21" s="65"/>
      <c r="C21" s="33"/>
      <c r="D21" s="33"/>
      <c r="E21" s="33"/>
      <c r="F21" s="33"/>
      <c r="G21" s="33"/>
      <c r="H21" s="33"/>
      <c r="I21" s="33"/>
      <c r="J21" s="52"/>
      <c r="K21" s="52"/>
      <c r="L21" s="66"/>
    </row>
    <row r="22" spans="1:12" x14ac:dyDescent="0.2">
      <c r="A22" s="35"/>
      <c r="B22" s="33"/>
      <c r="C22" s="33"/>
      <c r="D22" s="33"/>
      <c r="E22" s="33"/>
      <c r="F22" s="33"/>
      <c r="G22" s="33"/>
      <c r="H22" s="33"/>
      <c r="I22" s="33"/>
      <c r="J22" s="52"/>
      <c r="K22" s="52"/>
      <c r="L22" s="66"/>
    </row>
    <row r="23" spans="1:12" x14ac:dyDescent="0.2">
      <c r="A23" s="32"/>
      <c r="B23" s="33"/>
      <c r="C23" s="33"/>
      <c r="D23" s="33" t="s">
        <v>38</v>
      </c>
      <c r="E23" s="33"/>
      <c r="F23" s="52">
        <v>0</v>
      </c>
      <c r="G23" s="52">
        <v>1</v>
      </c>
      <c r="H23" s="52">
        <v>2</v>
      </c>
      <c r="I23" s="52">
        <v>3</v>
      </c>
      <c r="J23" s="52">
        <v>4</v>
      </c>
      <c r="K23" s="33"/>
      <c r="L23" s="34"/>
    </row>
    <row r="24" spans="1:12" x14ac:dyDescent="0.2">
      <c r="A24" s="32"/>
      <c r="B24" s="67" t="s">
        <v>3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x14ac:dyDescent="0.2">
      <c r="A25" s="32"/>
      <c r="B25" s="33" t="s">
        <v>0</v>
      </c>
      <c r="C25" s="33"/>
      <c r="D25" s="33"/>
      <c r="E25" s="33"/>
      <c r="F25" s="33">
        <v>-200</v>
      </c>
      <c r="G25" s="33"/>
      <c r="H25" s="33"/>
      <c r="I25" s="33"/>
      <c r="J25" s="33"/>
      <c r="K25" s="33"/>
      <c r="L25" s="34"/>
    </row>
    <row r="26" spans="1:12" x14ac:dyDescent="0.2">
      <c r="A26" s="32"/>
      <c r="B26" s="33" t="s">
        <v>1</v>
      </c>
      <c r="C26" s="33"/>
      <c r="D26" s="33"/>
      <c r="E26" s="33"/>
      <c r="F26" s="33">
        <v>-40</v>
      </c>
      <c r="G26" s="33"/>
      <c r="H26" s="33"/>
      <c r="I26" s="33"/>
      <c r="J26" s="33"/>
      <c r="K26" s="33"/>
      <c r="L26" s="34"/>
    </row>
    <row r="27" spans="1:12" x14ac:dyDescent="0.2">
      <c r="A27" s="32"/>
      <c r="B27" s="33" t="s">
        <v>2</v>
      </c>
      <c r="C27" s="33"/>
      <c r="D27" s="33"/>
      <c r="E27" s="33"/>
      <c r="F27" s="33">
        <v>-25</v>
      </c>
      <c r="G27" s="33"/>
      <c r="H27" s="33"/>
      <c r="I27" s="33"/>
      <c r="J27" s="33"/>
      <c r="K27" s="33"/>
      <c r="L27" s="34"/>
    </row>
    <row r="28" spans="1:12" x14ac:dyDescent="0.2">
      <c r="A28" s="32"/>
      <c r="B28" s="33" t="s">
        <v>24</v>
      </c>
      <c r="C28" s="33"/>
      <c r="D28" s="33"/>
      <c r="E28" s="33"/>
      <c r="F28" s="33">
        <v>5</v>
      </c>
      <c r="G28" s="33"/>
      <c r="H28" s="33"/>
      <c r="I28" s="33"/>
      <c r="J28" s="33"/>
      <c r="K28" s="33"/>
      <c r="L28" s="34"/>
    </row>
    <row r="29" spans="1:12" x14ac:dyDescent="0.2">
      <c r="A29" s="32"/>
      <c r="B29" s="33"/>
      <c r="C29" s="33" t="s">
        <v>20</v>
      </c>
      <c r="D29" s="33"/>
      <c r="E29" s="33"/>
      <c r="F29" s="33">
        <f>SUM(F25:F28)</f>
        <v>-260</v>
      </c>
      <c r="G29" s="33"/>
      <c r="H29" s="33"/>
      <c r="I29" s="33"/>
      <c r="J29" s="33"/>
      <c r="K29" s="33"/>
      <c r="L29" s="34"/>
    </row>
    <row r="30" spans="1:12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x14ac:dyDescent="0.2">
      <c r="A31" s="32"/>
      <c r="B31" s="67" t="s">
        <v>4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x14ac:dyDescent="0.2">
      <c r="A32" s="32"/>
      <c r="B32" s="33" t="s">
        <v>5</v>
      </c>
      <c r="C32" s="33"/>
      <c r="D32" s="33"/>
      <c r="E32" s="33"/>
      <c r="F32" s="33"/>
      <c r="G32" s="33">
        <f>$D$17*(1+$D$18)</f>
        <v>100</v>
      </c>
      <c r="H32" s="33">
        <f>$D$17*(1+$D$18)</f>
        <v>100</v>
      </c>
      <c r="I32" s="33">
        <f>$D$17*(1+$D$18)</f>
        <v>100</v>
      </c>
      <c r="J32" s="33">
        <f>$D$17*(1+$D$18)</f>
        <v>100</v>
      </c>
      <c r="K32" s="33"/>
      <c r="L32" s="34"/>
    </row>
    <row r="33" spans="1:12" x14ac:dyDescent="0.2">
      <c r="A33" s="32"/>
      <c r="B33" s="33" t="s">
        <v>6</v>
      </c>
      <c r="C33" s="33"/>
      <c r="D33" s="33"/>
      <c r="E33" s="33"/>
      <c r="F33" s="33"/>
      <c r="G33" s="68">
        <f>$D$12*(1+H12)</f>
        <v>2</v>
      </c>
      <c r="H33" s="68">
        <f>G33*(1+$H$12)</f>
        <v>2</v>
      </c>
      <c r="I33" s="68">
        <f>H33*(1+$H$12)</f>
        <v>2</v>
      </c>
      <c r="J33" s="68">
        <f>I33*(1+$H$12)</f>
        <v>2</v>
      </c>
      <c r="K33" s="33"/>
      <c r="L33" s="34"/>
    </row>
    <row r="34" spans="1:12" x14ac:dyDescent="0.2">
      <c r="A34" s="32"/>
      <c r="B34" s="33" t="s">
        <v>7</v>
      </c>
      <c r="C34" s="33"/>
      <c r="D34" s="33"/>
      <c r="E34" s="33"/>
      <c r="F34" s="33"/>
      <c r="G34" s="68">
        <f>G32*G33</f>
        <v>200</v>
      </c>
      <c r="H34" s="68">
        <f>H32*H33</f>
        <v>200</v>
      </c>
      <c r="I34" s="68">
        <f>I32*I33</f>
        <v>200</v>
      </c>
      <c r="J34" s="68">
        <f>J32*J33</f>
        <v>200</v>
      </c>
      <c r="K34" s="33"/>
      <c r="L34" s="34"/>
    </row>
    <row r="35" spans="1:12" x14ac:dyDescent="0.2">
      <c r="A35" s="32"/>
      <c r="B35" s="33"/>
      <c r="C35" s="33"/>
      <c r="D35" s="33"/>
      <c r="E35" s="33"/>
      <c r="F35" s="33"/>
      <c r="G35" s="68"/>
      <c r="H35" s="68"/>
      <c r="I35" s="68"/>
      <c r="J35" s="68"/>
      <c r="K35" s="33"/>
      <c r="L35" s="34"/>
    </row>
    <row r="36" spans="1:12" x14ac:dyDescent="0.2">
      <c r="A36" s="32"/>
      <c r="B36" s="33" t="s">
        <v>8</v>
      </c>
      <c r="C36" s="33"/>
      <c r="D36" s="33"/>
      <c r="E36" s="33"/>
      <c r="F36" s="33"/>
      <c r="G36" s="68">
        <f>G34*$D$13</f>
        <v>120</v>
      </c>
      <c r="H36" s="68">
        <f>H34*$D$13</f>
        <v>120</v>
      </c>
      <c r="I36" s="68">
        <f>I34*$D$13</f>
        <v>120</v>
      </c>
      <c r="J36" s="68">
        <f>J34*$D$13</f>
        <v>120</v>
      </c>
      <c r="K36" s="33"/>
      <c r="L36" s="34"/>
    </row>
    <row r="37" spans="1:12" x14ac:dyDescent="0.2">
      <c r="A37" s="32"/>
      <c r="B37" s="33" t="s">
        <v>9</v>
      </c>
      <c r="C37" s="33"/>
      <c r="D37" s="33"/>
      <c r="E37" s="33"/>
      <c r="F37" s="33"/>
      <c r="G37" s="68">
        <f>-($F$25+$F$26)*I13</f>
        <v>79.2</v>
      </c>
      <c r="H37" s="68">
        <f>-($F$25+$F$26)*J13</f>
        <v>108</v>
      </c>
      <c r="I37" s="68">
        <f>-($F$25+$F$26)*K13</f>
        <v>36</v>
      </c>
      <c r="J37" s="68">
        <f>-($F$25+$F$26)*L13</f>
        <v>16.8</v>
      </c>
      <c r="K37" s="33"/>
      <c r="L37" s="34"/>
    </row>
    <row r="38" spans="1:12" x14ac:dyDescent="0.2">
      <c r="A38" s="32"/>
      <c r="B38" s="33" t="s">
        <v>10</v>
      </c>
      <c r="C38" s="33"/>
      <c r="D38" s="33"/>
      <c r="E38" s="33"/>
      <c r="F38" s="33"/>
      <c r="G38" s="68">
        <f>G36+G37</f>
        <v>199.2</v>
      </c>
      <c r="H38" s="68">
        <f>H36+H37</f>
        <v>228</v>
      </c>
      <c r="I38" s="68">
        <f>I36+I37</f>
        <v>156</v>
      </c>
      <c r="J38" s="68">
        <f>J36+J37</f>
        <v>136.80000000000001</v>
      </c>
      <c r="K38" s="33"/>
      <c r="L38" s="34"/>
    </row>
    <row r="39" spans="1:12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x14ac:dyDescent="0.2">
      <c r="A40" s="32"/>
      <c r="B40" s="33" t="s">
        <v>11</v>
      </c>
      <c r="C40" s="33"/>
      <c r="D40" s="33"/>
      <c r="E40" s="33"/>
      <c r="F40" s="33"/>
      <c r="G40" s="68">
        <f>G34-G38</f>
        <v>0.80000000000001137</v>
      </c>
      <c r="H40" s="68">
        <f>H34-H38</f>
        <v>-28</v>
      </c>
      <c r="I40" s="68">
        <f>I34-I38</f>
        <v>44</v>
      </c>
      <c r="J40" s="68">
        <f>J34-J38</f>
        <v>63.199999999999989</v>
      </c>
      <c r="K40" s="33"/>
      <c r="L40" s="34"/>
    </row>
    <row r="41" spans="1:12" x14ac:dyDescent="0.2">
      <c r="A41" s="32"/>
      <c r="B41" s="33" t="s">
        <v>12</v>
      </c>
      <c r="C41" s="33"/>
      <c r="D41" s="33"/>
      <c r="E41" s="33"/>
      <c r="F41" s="33"/>
      <c r="G41" s="69">
        <f>G40*$D$14</f>
        <v>0.32000000000000456</v>
      </c>
      <c r="H41" s="69">
        <f>H40*$D$14</f>
        <v>-11.200000000000001</v>
      </c>
      <c r="I41" s="69">
        <f>I40*$D$14</f>
        <v>17.600000000000001</v>
      </c>
      <c r="J41" s="69">
        <f>J40*$D$14</f>
        <v>25.279999999999998</v>
      </c>
      <c r="K41" s="33"/>
      <c r="L41" s="34"/>
    </row>
    <row r="42" spans="1:12" x14ac:dyDescent="0.2">
      <c r="A42" s="32"/>
      <c r="B42" s="33" t="s">
        <v>13</v>
      </c>
      <c r="C42" s="33"/>
      <c r="D42" s="33"/>
      <c r="E42" s="33"/>
      <c r="F42" s="33"/>
      <c r="G42" s="68">
        <f>G40-G41</f>
        <v>0.48000000000000681</v>
      </c>
      <c r="H42" s="68">
        <f>H40-H41</f>
        <v>-16.799999999999997</v>
      </c>
      <c r="I42" s="68">
        <f>I40-I41</f>
        <v>26.4</v>
      </c>
      <c r="J42" s="68">
        <f>J40-J41</f>
        <v>37.919999999999987</v>
      </c>
      <c r="K42" s="33"/>
      <c r="L42" s="34"/>
    </row>
    <row r="43" spans="1:12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x14ac:dyDescent="0.2">
      <c r="A44" s="32"/>
      <c r="B44" s="33" t="s">
        <v>9</v>
      </c>
      <c r="C44" s="33"/>
      <c r="D44" s="33"/>
      <c r="E44" s="33"/>
      <c r="F44" s="33"/>
      <c r="G44" s="70">
        <f>G37</f>
        <v>79.2</v>
      </c>
      <c r="H44" s="70">
        <f>H37</f>
        <v>108</v>
      </c>
      <c r="I44" s="70">
        <f>I37</f>
        <v>36</v>
      </c>
      <c r="J44" s="70">
        <f>J37</f>
        <v>16.8</v>
      </c>
      <c r="K44" s="33"/>
      <c r="L44" s="34"/>
    </row>
    <row r="45" spans="1:12" x14ac:dyDescent="0.2">
      <c r="A45" s="32"/>
      <c r="B45" s="33" t="s">
        <v>14</v>
      </c>
      <c r="C45" s="33"/>
      <c r="D45" s="33"/>
      <c r="E45" s="33"/>
      <c r="F45" s="33"/>
      <c r="G45" s="68">
        <f>G42+G44</f>
        <v>79.680000000000007</v>
      </c>
      <c r="H45" s="68">
        <f>H42+H44</f>
        <v>91.2</v>
      </c>
      <c r="I45" s="68">
        <f>I42+I44</f>
        <v>62.4</v>
      </c>
      <c r="J45" s="68">
        <f>J42+J44</f>
        <v>54.719999999999985</v>
      </c>
      <c r="K45" s="33"/>
      <c r="L45" s="34"/>
    </row>
    <row r="46" spans="1:12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1:12" x14ac:dyDescent="0.2">
      <c r="A47" s="32"/>
      <c r="B47" s="67" t="s">
        <v>15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1:12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x14ac:dyDescent="0.2">
      <c r="A49" s="32"/>
      <c r="B49" s="33" t="s">
        <v>23</v>
      </c>
      <c r="C49" s="33"/>
      <c r="D49" s="33"/>
      <c r="E49" s="33"/>
      <c r="F49" s="33"/>
      <c r="G49" s="33"/>
      <c r="H49" s="33"/>
      <c r="I49" s="33"/>
      <c r="J49" s="33">
        <f>-(F27+F28)</f>
        <v>20</v>
      </c>
      <c r="K49" s="33"/>
      <c r="L49" s="34"/>
    </row>
    <row r="50" spans="1:12" x14ac:dyDescent="0.2">
      <c r="A50" s="32"/>
      <c r="B50" s="33" t="s">
        <v>25</v>
      </c>
      <c r="C50" s="33"/>
      <c r="D50" s="33"/>
      <c r="E50" s="33"/>
      <c r="F50" s="33"/>
      <c r="G50" s="33"/>
      <c r="H50" s="33"/>
      <c r="I50" s="33"/>
      <c r="J50" s="33">
        <f>E15</f>
        <v>25</v>
      </c>
      <c r="K50" s="33"/>
      <c r="L50" s="34"/>
    </row>
    <row r="51" spans="1:12" x14ac:dyDescent="0.2">
      <c r="A51" s="32"/>
      <c r="B51" s="33" t="s">
        <v>26</v>
      </c>
      <c r="C51" s="33"/>
      <c r="D51" s="33"/>
      <c r="E51" s="33"/>
      <c r="F51" s="33"/>
      <c r="G51" s="33"/>
      <c r="H51" s="33"/>
      <c r="I51" s="33"/>
      <c r="J51" s="69">
        <f>J50*D14</f>
        <v>10</v>
      </c>
      <c r="K51" s="33"/>
      <c r="L51" s="34"/>
    </row>
    <row r="52" spans="1:12" ht="13.5" thickBot="1" x14ac:dyDescent="0.25">
      <c r="A52" s="32"/>
      <c r="B52" s="33"/>
      <c r="C52" s="33" t="s">
        <v>27</v>
      </c>
      <c r="D52" s="33"/>
      <c r="E52" s="33"/>
      <c r="F52" s="33"/>
      <c r="G52" s="33"/>
      <c r="H52" s="33"/>
      <c r="I52" s="33"/>
      <c r="J52" s="33">
        <f>J49+J50-J51</f>
        <v>35</v>
      </c>
      <c r="K52" s="33"/>
      <c r="L52" s="34"/>
    </row>
    <row r="53" spans="1:12" x14ac:dyDescent="0.2">
      <c r="A53" s="86" t="s">
        <v>55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</row>
    <row r="54" spans="1:12" x14ac:dyDescent="0.2">
      <c r="A54" s="32"/>
      <c r="B54" s="71"/>
      <c r="C54" s="40">
        <f>G9</f>
        <v>0.1</v>
      </c>
      <c r="D54" s="72">
        <f>H9</f>
        <v>0.1</v>
      </c>
      <c r="E54" s="33"/>
      <c r="F54" s="33"/>
      <c r="G54" s="33"/>
      <c r="H54" s="33"/>
      <c r="I54" s="33"/>
      <c r="J54" s="33"/>
      <c r="K54" s="33"/>
      <c r="L54" s="34"/>
    </row>
    <row r="55" spans="1:12" ht="13.5" thickBot="1" x14ac:dyDescent="0.25">
      <c r="A55" s="79"/>
      <c r="B55" s="87"/>
      <c r="C55" s="88"/>
      <c r="D55" s="89"/>
      <c r="E55" s="80"/>
      <c r="F55" s="80"/>
      <c r="G55" s="80"/>
      <c r="H55" s="80"/>
      <c r="I55" s="80"/>
      <c r="J55" s="80"/>
      <c r="K55" s="80"/>
      <c r="L55" s="84"/>
    </row>
    <row r="56" spans="1:12" x14ac:dyDescent="0.2">
      <c r="A56" s="86" t="s">
        <v>56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/>
    </row>
    <row r="57" spans="1:12" x14ac:dyDescent="0.2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/>
    </row>
    <row r="58" spans="1:12" x14ac:dyDescent="0.2">
      <c r="A58" s="32"/>
      <c r="B58" s="36"/>
      <c r="C58" s="37"/>
      <c r="D58" s="37"/>
      <c r="E58" s="37"/>
      <c r="F58" s="37">
        <f>F23</f>
        <v>0</v>
      </c>
      <c r="G58" s="37">
        <f>G23</f>
        <v>1</v>
      </c>
      <c r="H58" s="37">
        <f>H23</f>
        <v>2</v>
      </c>
      <c r="I58" s="37">
        <f>I23</f>
        <v>3</v>
      </c>
      <c r="J58" s="38">
        <f>J23</f>
        <v>4</v>
      </c>
      <c r="K58" s="33"/>
      <c r="L58" s="34"/>
    </row>
    <row r="59" spans="1:12" x14ac:dyDescent="0.2">
      <c r="A59" s="32"/>
      <c r="B59" s="43" t="s">
        <v>31</v>
      </c>
      <c r="C59" s="56"/>
      <c r="D59" s="56"/>
      <c r="E59" s="56"/>
      <c r="F59" s="56">
        <f>F29</f>
        <v>-260</v>
      </c>
      <c r="G59" s="73">
        <f>G45</f>
        <v>79.680000000000007</v>
      </c>
      <c r="H59" s="73">
        <f>H45</f>
        <v>91.2</v>
      </c>
      <c r="I59" s="73">
        <f>I45</f>
        <v>62.4</v>
      </c>
      <c r="J59" s="74">
        <f>J45+J52</f>
        <v>89.719999999999985</v>
      </c>
      <c r="K59" s="33"/>
      <c r="L59" s="34"/>
    </row>
    <row r="60" spans="1:12" x14ac:dyDescent="0.2">
      <c r="A60" s="7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x14ac:dyDescent="0.2">
      <c r="A61" s="76"/>
      <c r="B61" s="100" t="s">
        <v>32</v>
      </c>
      <c r="C61" s="101">
        <f>ROUND(E62+E63,2)</f>
        <v>-4.03</v>
      </c>
      <c r="D61" s="37" t="s">
        <v>34</v>
      </c>
      <c r="E61" s="37"/>
      <c r="F61" s="37"/>
      <c r="G61" s="37"/>
      <c r="H61" s="37"/>
      <c r="I61" s="100" t="s">
        <v>33</v>
      </c>
      <c r="J61" s="102">
        <f>IRR(F59:J59)</f>
        <v>9.2813709650780174E-2</v>
      </c>
      <c r="K61" s="37"/>
      <c r="L61" s="54"/>
    </row>
    <row r="62" spans="1:12" x14ac:dyDescent="0.2">
      <c r="A62" s="32"/>
      <c r="B62" s="33"/>
      <c r="C62" s="33" t="s">
        <v>69</v>
      </c>
      <c r="D62" s="33"/>
      <c r="E62" s="68">
        <f>NPV(F12,G59:J59)</f>
        <v>255.97027525442249</v>
      </c>
      <c r="F62" s="33"/>
      <c r="G62" s="33"/>
      <c r="H62" s="33"/>
      <c r="I62" s="33"/>
      <c r="J62" s="33"/>
      <c r="K62" s="33"/>
      <c r="L62" s="34"/>
    </row>
    <row r="63" spans="1:12" x14ac:dyDescent="0.2">
      <c r="A63" s="75"/>
      <c r="B63" s="56"/>
      <c r="C63" s="56" t="s">
        <v>70</v>
      </c>
      <c r="D63" s="56"/>
      <c r="E63" s="73">
        <f>F59</f>
        <v>-260</v>
      </c>
      <c r="F63" s="56"/>
      <c r="G63" s="56"/>
      <c r="H63" s="56"/>
      <c r="I63" s="56"/>
      <c r="J63" s="56"/>
      <c r="K63" s="56"/>
      <c r="L63" s="57"/>
    </row>
    <row r="64" spans="1:12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x14ac:dyDescent="0.2">
      <c r="A65" s="32"/>
      <c r="B65" s="77" t="s">
        <v>60</v>
      </c>
      <c r="C65" s="56"/>
      <c r="D65" s="56"/>
      <c r="E65" s="56"/>
      <c r="F65" s="33"/>
      <c r="G65" s="56" t="s">
        <v>67</v>
      </c>
      <c r="H65" s="56"/>
      <c r="I65" s="56"/>
      <c r="J65" s="56"/>
      <c r="K65" s="33"/>
      <c r="L65" s="34"/>
    </row>
    <row r="66" spans="1:12" x14ac:dyDescent="0.2">
      <c r="A66" s="32"/>
      <c r="B66" s="33" t="s">
        <v>61</v>
      </c>
      <c r="C66" s="33"/>
      <c r="D66" s="36"/>
      <c r="E66" s="33" t="s">
        <v>64</v>
      </c>
      <c r="F66" s="33"/>
      <c r="G66" s="33" t="s">
        <v>61</v>
      </c>
      <c r="H66" s="33"/>
      <c r="I66" s="36"/>
      <c r="J66" s="33" t="s">
        <v>68</v>
      </c>
      <c r="K66" s="33"/>
      <c r="L66" s="34"/>
    </row>
    <row r="67" spans="1:12" x14ac:dyDescent="0.2">
      <c r="A67" s="32"/>
      <c r="B67" s="33" t="s">
        <v>62</v>
      </c>
      <c r="C67" s="33">
        <v>260</v>
      </c>
      <c r="D67" s="39">
        <f>I6</f>
        <v>48.75</v>
      </c>
      <c r="E67" s="33" t="s">
        <v>65</v>
      </c>
      <c r="F67" s="33"/>
      <c r="G67" s="33" t="s">
        <v>68</v>
      </c>
      <c r="H67" s="68">
        <f>E62</f>
        <v>255.97027525442249</v>
      </c>
      <c r="I67" s="39">
        <f>D67</f>
        <v>48.75</v>
      </c>
      <c r="J67" s="33" t="s">
        <v>71</v>
      </c>
      <c r="K67" s="33"/>
      <c r="L67" s="34"/>
    </row>
    <row r="68" spans="1:12" x14ac:dyDescent="0.2">
      <c r="A68" s="32"/>
      <c r="B68" s="33" t="s">
        <v>63</v>
      </c>
      <c r="C68" s="68"/>
      <c r="D68" s="39"/>
      <c r="E68" s="33"/>
      <c r="F68" s="33"/>
      <c r="G68" s="68"/>
      <c r="H68" s="68"/>
      <c r="I68" s="78"/>
      <c r="J68" s="68"/>
      <c r="K68" s="33"/>
      <c r="L68" s="34"/>
    </row>
    <row r="69" spans="1:12" x14ac:dyDescent="0.2">
      <c r="A69" s="32"/>
      <c r="B69" s="33"/>
      <c r="C69" s="68"/>
      <c r="D69" s="39"/>
      <c r="E69" s="33" t="s">
        <v>64</v>
      </c>
      <c r="F69" s="33"/>
      <c r="G69" s="33"/>
      <c r="H69" s="68"/>
      <c r="I69" s="78"/>
      <c r="J69" s="68" t="s">
        <v>68</v>
      </c>
      <c r="K69" s="33"/>
      <c r="L69" s="34"/>
    </row>
    <row r="70" spans="1:12" x14ac:dyDescent="0.2">
      <c r="A70" s="32"/>
      <c r="B70" s="33"/>
      <c r="C70" s="68"/>
      <c r="D70" s="39">
        <f>I4</f>
        <v>211.25</v>
      </c>
      <c r="E70" s="51" t="s">
        <v>66</v>
      </c>
      <c r="F70" s="33"/>
      <c r="G70" s="33"/>
      <c r="H70" s="33"/>
      <c r="I70" s="78">
        <f>D70+C61</f>
        <v>207.22</v>
      </c>
      <c r="J70" s="33" t="s">
        <v>72</v>
      </c>
      <c r="K70" s="33"/>
      <c r="L70" s="34"/>
    </row>
    <row r="71" spans="1:12" x14ac:dyDescent="0.2">
      <c r="A71" s="32"/>
      <c r="B71" s="33"/>
      <c r="C71" s="33"/>
      <c r="D71" s="39"/>
      <c r="E71" s="33"/>
      <c r="F71" s="33"/>
      <c r="G71" s="33"/>
      <c r="H71" s="33"/>
      <c r="I71" s="78"/>
      <c r="J71" s="33" t="str">
        <f>"= "&amp;D70&amp;" "&amp;"+/- NPV of"&amp;" "&amp;C61</f>
        <v>= 211.25 +/- NPV of -4.03</v>
      </c>
      <c r="K71" s="33"/>
      <c r="L71" s="34"/>
    </row>
    <row r="72" spans="1:12" x14ac:dyDescent="0.2">
      <c r="A72" s="32"/>
      <c r="B72" s="33"/>
      <c r="C72" s="33"/>
      <c r="D72" s="39"/>
      <c r="E72" s="33"/>
      <c r="F72" s="33"/>
      <c r="G72" s="33"/>
      <c r="H72" s="33"/>
      <c r="I72" s="39"/>
      <c r="J72" s="33"/>
      <c r="K72" s="33"/>
      <c r="L72" s="34"/>
    </row>
    <row r="73" spans="1:12" ht="13.5" thickBot="1" x14ac:dyDescent="0.25">
      <c r="A73" s="79"/>
      <c r="B73" s="80" t="s">
        <v>73</v>
      </c>
      <c r="C73" s="80">
        <f>C67</f>
        <v>260</v>
      </c>
      <c r="D73" s="81">
        <f>D67+D70</f>
        <v>260</v>
      </c>
      <c r="E73" s="80" t="s">
        <v>74</v>
      </c>
      <c r="F73" s="80"/>
      <c r="G73" s="80" t="s">
        <v>75</v>
      </c>
      <c r="H73" s="82">
        <f>H67</f>
        <v>255.97027525442249</v>
      </c>
      <c r="I73" s="83">
        <f>I67+I70</f>
        <v>255.97</v>
      </c>
      <c r="J73" s="80" t="s">
        <v>76</v>
      </c>
      <c r="K73" s="80"/>
      <c r="L73" s="8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6"/>
  <sheetViews>
    <sheetView showGridLines="0" topLeftCell="A7" workbookViewId="0">
      <selection activeCell="M22" sqref="M22"/>
    </sheetView>
  </sheetViews>
  <sheetFormatPr defaultRowHeight="12.75" x14ac:dyDescent="0.2"/>
  <cols>
    <col min="2" max="2" width="10.28515625" customWidth="1"/>
  </cols>
  <sheetData>
    <row r="7" spans="2:3" x14ac:dyDescent="0.2">
      <c r="B7" s="17" t="s">
        <v>35</v>
      </c>
      <c r="C7" s="8"/>
    </row>
    <row r="8" spans="2:3" s="16" customFormat="1" ht="51" x14ac:dyDescent="0.2">
      <c r="B8" s="16" t="s">
        <v>36</v>
      </c>
      <c r="C8" s="16" t="s">
        <v>32</v>
      </c>
    </row>
    <row r="9" spans="2:3" x14ac:dyDescent="0.2">
      <c r="B9" s="2">
        <v>-0.2</v>
      </c>
      <c r="C9">
        <v>-19.260000000000002</v>
      </c>
    </row>
    <row r="10" spans="2:3" x14ac:dyDescent="0.2">
      <c r="B10" s="2">
        <v>-0.1</v>
      </c>
      <c r="C10">
        <v>-2.15</v>
      </c>
    </row>
    <row r="11" spans="2:3" x14ac:dyDescent="0.2">
      <c r="B11" s="2">
        <v>0</v>
      </c>
      <c r="C11">
        <v>14.97</v>
      </c>
    </row>
    <row r="12" spans="2:3" x14ac:dyDescent="0.2">
      <c r="B12" s="2">
        <v>0.1</v>
      </c>
      <c r="C12">
        <v>32.08</v>
      </c>
    </row>
    <row r="13" spans="2:3" x14ac:dyDescent="0.2">
      <c r="B13" s="2">
        <v>0.2</v>
      </c>
      <c r="C13">
        <v>49.2</v>
      </c>
    </row>
    <row r="25" spans="2:2" x14ac:dyDescent="0.2">
      <c r="B25" s="1" t="s">
        <v>82</v>
      </c>
    </row>
    <row r="26" spans="2:2" x14ac:dyDescent="0.2">
      <c r="B26" s="1" t="s">
        <v>83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showGridLines="0" workbookViewId="0">
      <selection activeCell="C27" sqref="C27"/>
    </sheetView>
  </sheetViews>
  <sheetFormatPr defaultRowHeight="12.75" x14ac:dyDescent="0.2"/>
  <sheetData>
    <row r="3" spans="2:11" ht="13.5" thickBot="1" x14ac:dyDescent="0.25"/>
    <row r="4" spans="2:11" x14ac:dyDescent="0.2">
      <c r="B4" s="4" t="s">
        <v>38</v>
      </c>
      <c r="C4" s="5"/>
      <c r="D4" s="5">
        <f>Model!F58</f>
        <v>0</v>
      </c>
      <c r="E4" s="5">
        <f>Model!G58</f>
        <v>1</v>
      </c>
      <c r="F4" s="5">
        <f>Model!H58</f>
        <v>2</v>
      </c>
      <c r="G4" s="5">
        <f>Model!I58</f>
        <v>3</v>
      </c>
      <c r="H4" s="5">
        <f>Model!J58</f>
        <v>4</v>
      </c>
      <c r="I4" s="10"/>
      <c r="J4" s="10"/>
      <c r="K4" s="11"/>
    </row>
    <row r="5" spans="2:11" x14ac:dyDescent="0.2">
      <c r="B5" s="6"/>
      <c r="C5" s="3"/>
      <c r="D5" s="3"/>
      <c r="E5" s="3"/>
      <c r="F5" s="3"/>
      <c r="G5" s="3"/>
      <c r="H5" s="3"/>
      <c r="I5" s="14"/>
      <c r="J5" s="14"/>
      <c r="K5" s="15"/>
    </row>
    <row r="6" spans="2:11" x14ac:dyDescent="0.2">
      <c r="B6" s="6" t="s">
        <v>39</v>
      </c>
      <c r="C6" s="3"/>
      <c r="D6" s="3">
        <f>Model!F59</f>
        <v>-260</v>
      </c>
      <c r="E6" s="3">
        <f>Model!G59</f>
        <v>79.680000000000007</v>
      </c>
      <c r="F6" s="3">
        <f>Model!H59</f>
        <v>91.2</v>
      </c>
      <c r="G6" s="3">
        <f>Model!I59</f>
        <v>62.4</v>
      </c>
      <c r="H6" s="3">
        <f>Model!J59</f>
        <v>89.719999999999985</v>
      </c>
      <c r="I6" s="14"/>
      <c r="J6" s="14"/>
      <c r="K6" s="15"/>
    </row>
    <row r="7" spans="2:11" x14ac:dyDescent="0.2">
      <c r="B7" s="6"/>
      <c r="C7" s="3"/>
      <c r="D7" s="3"/>
      <c r="E7" s="3"/>
      <c r="F7" s="3"/>
      <c r="G7" s="3"/>
      <c r="H7" s="3"/>
      <c r="I7" s="14"/>
      <c r="J7" s="14"/>
      <c r="K7" s="15"/>
    </row>
    <row r="8" spans="2:11" x14ac:dyDescent="0.2">
      <c r="B8" s="6" t="s">
        <v>43</v>
      </c>
      <c r="C8" s="14"/>
      <c r="D8" s="14"/>
      <c r="E8" s="25">
        <f>E6/(1+Model!$F$12)^'Present Value calculation'!E4</f>
        <v>72.436363636363637</v>
      </c>
      <c r="F8" s="25">
        <f>F6/(1+Model!$F$12)^'Present Value calculation'!F4</f>
        <v>75.371900826446279</v>
      </c>
      <c r="G8" s="25">
        <f>G6/(1+Model!$F$12)^'Present Value calculation'!G4</f>
        <v>46.88204357625844</v>
      </c>
      <c r="H8" s="25">
        <f>H6/(1+Model!$F$12)^'Present Value calculation'!H4</f>
        <v>61.279967215354112</v>
      </c>
      <c r="I8" s="14"/>
      <c r="J8" s="14"/>
      <c r="K8" s="15"/>
    </row>
    <row r="9" spans="2:11" x14ac:dyDescent="0.2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2">
      <c r="B10" s="13"/>
      <c r="C10" s="18" t="s">
        <v>42</v>
      </c>
      <c r="D10" s="19"/>
      <c r="E10" s="19"/>
      <c r="F10" s="19"/>
      <c r="G10" s="19"/>
      <c r="H10" s="19"/>
      <c r="I10" s="19"/>
      <c r="J10" s="19"/>
      <c r="K10" s="26"/>
    </row>
    <row r="11" spans="2:11" x14ac:dyDescent="0.2">
      <c r="B11" s="13"/>
      <c r="C11" s="20">
        <f>SUM(E8:H8)</f>
        <v>255.97027525442246</v>
      </c>
      <c r="D11" s="14"/>
      <c r="E11" s="14"/>
      <c r="F11" s="14"/>
      <c r="G11" s="14"/>
      <c r="H11" s="14"/>
      <c r="I11" s="14"/>
      <c r="J11" s="14"/>
      <c r="K11" s="15"/>
    </row>
    <row r="12" spans="2:11" x14ac:dyDescent="0.2">
      <c r="B12" s="13"/>
      <c r="C12" s="21"/>
      <c r="D12" s="14"/>
      <c r="E12" s="14"/>
      <c r="F12" s="14"/>
      <c r="G12" s="14"/>
      <c r="H12" s="14"/>
      <c r="I12" s="14"/>
      <c r="J12" s="14"/>
      <c r="K12" s="15"/>
    </row>
    <row r="13" spans="2:11" x14ac:dyDescent="0.2">
      <c r="B13" s="13"/>
      <c r="C13" s="21" t="s">
        <v>32</v>
      </c>
      <c r="D13" s="14"/>
      <c r="E13" s="14"/>
      <c r="F13" s="14"/>
      <c r="G13" s="14"/>
      <c r="H13" s="14"/>
      <c r="I13" s="14"/>
      <c r="J13" s="14"/>
      <c r="K13" s="15"/>
    </row>
    <row r="14" spans="2:11" x14ac:dyDescent="0.2">
      <c r="B14" s="13"/>
      <c r="C14" s="22">
        <f>C11+D6</f>
        <v>-4.0297247455775391</v>
      </c>
      <c r="D14" s="23" t="s">
        <v>40</v>
      </c>
      <c r="E14" s="23"/>
      <c r="F14" s="23"/>
      <c r="G14" s="23"/>
      <c r="H14" s="23"/>
      <c r="I14" s="23"/>
      <c r="J14" s="23"/>
      <c r="K14" s="27"/>
    </row>
    <row r="15" spans="2:11" x14ac:dyDescent="0.2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2:1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2:11" x14ac:dyDescent="0.2">
      <c r="B17" s="13"/>
      <c r="C17" s="3" t="s">
        <v>41</v>
      </c>
      <c r="D17" s="14"/>
      <c r="E17" s="14"/>
      <c r="F17" s="14"/>
      <c r="G17" s="14"/>
      <c r="H17" s="14"/>
      <c r="I17" s="14"/>
      <c r="J17" s="14"/>
      <c r="K17" s="15"/>
    </row>
    <row r="18" spans="2:11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 x14ac:dyDescent="0.2">
      <c r="B19" s="13"/>
      <c r="C19" s="18" t="s">
        <v>44</v>
      </c>
      <c r="D19" s="19"/>
      <c r="E19" s="19"/>
      <c r="F19" s="19"/>
      <c r="G19" s="19"/>
      <c r="H19" s="19"/>
      <c r="I19" s="19"/>
      <c r="J19" s="19"/>
      <c r="K19" s="26"/>
    </row>
    <row r="20" spans="2:11" x14ac:dyDescent="0.2">
      <c r="B20" s="13"/>
      <c r="C20" s="24">
        <f>NPV(Model!F12,E6:H6)</f>
        <v>255.97027525442249</v>
      </c>
      <c r="D20" s="14"/>
      <c r="E20" s="14"/>
      <c r="F20" s="14"/>
      <c r="G20" s="14"/>
      <c r="H20" s="14"/>
      <c r="I20" s="14"/>
      <c r="J20" s="14"/>
      <c r="K20" s="15"/>
    </row>
    <row r="21" spans="2:11" x14ac:dyDescent="0.2">
      <c r="B21" s="13"/>
      <c r="C21" s="21"/>
      <c r="D21" s="14"/>
      <c r="E21" s="14"/>
      <c r="F21" s="14"/>
      <c r="G21" s="14"/>
      <c r="H21" s="14"/>
      <c r="I21" s="14"/>
      <c r="J21" s="14"/>
      <c r="K21" s="15"/>
    </row>
    <row r="22" spans="2:11" x14ac:dyDescent="0.2">
      <c r="B22" s="13"/>
      <c r="C22" s="21" t="s">
        <v>32</v>
      </c>
      <c r="D22" s="14"/>
      <c r="E22" s="14"/>
      <c r="F22" s="14"/>
      <c r="G22" s="14"/>
      <c r="H22" s="14"/>
      <c r="I22" s="14"/>
      <c r="J22" s="14"/>
      <c r="K22" s="15"/>
    </row>
    <row r="23" spans="2:11" ht="13.5" thickBot="1" x14ac:dyDescent="0.25">
      <c r="B23" s="7"/>
      <c r="C23" s="28">
        <f>C20+D6</f>
        <v>-4.0297247455775107</v>
      </c>
      <c r="D23" s="12" t="str">
        <f>D14</f>
        <v>(notice, the "cost" or PV outflows is already expressed as a negative)</v>
      </c>
      <c r="E23" s="12"/>
      <c r="F23" s="12"/>
      <c r="G23" s="12"/>
      <c r="H23" s="12"/>
      <c r="I23" s="12"/>
      <c r="J23" s="12"/>
      <c r="K23" s="9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</vt:lpstr>
      <vt:lpstr>Sensitivity</vt:lpstr>
      <vt:lpstr>Present Value calculation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Consulting Group</dc:creator>
  <cp:lastModifiedBy>vdenny</cp:lastModifiedBy>
  <dcterms:created xsi:type="dcterms:W3CDTF">2006-02-27T23:40:22Z</dcterms:created>
  <dcterms:modified xsi:type="dcterms:W3CDTF">2012-01-24T19:02:58Z</dcterms:modified>
</cp:coreProperties>
</file>