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historical data with correction" sheetId="1" r:id="rId1"/>
    <sheet name="Cash flow" sheetId="2" r:id="rId2"/>
  </sheets>
  <definedNames/>
  <calcPr fullCalcOnLoad="1"/>
</workbook>
</file>

<file path=xl/comments1.xml><?xml version="1.0" encoding="utf-8"?>
<comments xmlns="http://schemas.openxmlformats.org/spreadsheetml/2006/main">
  <authors>
    <author>San Chee</author>
    <author>chee</author>
  </authors>
  <commentList>
    <comment ref="C29" authorId="0">
      <text>
        <r>
          <rPr>
            <b/>
            <sz val="8"/>
            <rFont val="Tahoma"/>
            <family val="0"/>
          </rPr>
          <t>San Chee:</t>
        </r>
        <r>
          <rPr>
            <sz val="8"/>
            <rFont val="Tahoma"/>
            <family val="0"/>
          </rPr>
          <t xml:space="preserve">
this is the corrected number. In the original PDF document, it was erroneously recorded as $18.94.</t>
        </r>
      </text>
    </comment>
    <comment ref="C32" authorId="0">
      <text>
        <r>
          <rPr>
            <b/>
            <sz val="8"/>
            <rFont val="Tahoma"/>
            <family val="0"/>
          </rPr>
          <t>San Chee:</t>
        </r>
        <r>
          <rPr>
            <sz val="8"/>
            <rFont val="Tahoma"/>
            <family val="0"/>
          </rPr>
          <t xml:space="preserve">
This is the corrected number. In the original PDF document, it was erroneously recorded as $19.94.</t>
        </r>
      </text>
    </comment>
    <comment ref="E29" authorId="0">
      <text>
        <r>
          <rPr>
            <b/>
            <sz val="8"/>
            <rFont val="Tahoma"/>
            <family val="0"/>
          </rPr>
          <t>San Chee:</t>
        </r>
        <r>
          <rPr>
            <sz val="8"/>
            <rFont val="Tahoma"/>
            <family val="0"/>
          </rPr>
          <t xml:space="preserve">
This is the corrected number. In the original PDF document, it was erroneously recorded as $21.37.</t>
        </r>
      </text>
    </comment>
    <comment ref="E32" authorId="0">
      <text>
        <r>
          <rPr>
            <b/>
            <sz val="8"/>
            <rFont val="Tahoma"/>
            <family val="0"/>
          </rPr>
          <t>San Chee:</t>
        </r>
        <r>
          <rPr>
            <sz val="8"/>
            <rFont val="Tahoma"/>
            <family val="0"/>
          </rPr>
          <t xml:space="preserve">
this is the corrected number. 
In the original PDF document, it was erroneously recorded as $22.30.</t>
        </r>
      </text>
    </comment>
    <comment ref="D30" authorId="1">
      <text>
        <r>
          <rPr>
            <b/>
            <sz val="8"/>
            <rFont val="Tahoma"/>
            <family val="0"/>
          </rPr>
          <t>San Chee:</t>
        </r>
        <r>
          <rPr>
            <sz val="8"/>
            <rFont val="Tahoma"/>
            <family val="0"/>
          </rPr>
          <t xml:space="preserve">
This is the corrected number.
In the original PDF document, it was erroneously recorded as 38.90%.</t>
        </r>
      </text>
    </comment>
    <comment ref="B30" authorId="1">
      <text>
        <r>
          <rPr>
            <b/>
            <sz val="8"/>
            <rFont val="Tahoma"/>
            <family val="2"/>
          </rPr>
          <t>San Chee:</t>
        </r>
        <r>
          <rPr>
            <sz val="8"/>
            <rFont val="Tahoma"/>
            <family val="2"/>
          </rPr>
          <t xml:space="preserve">
This is the corrected number.
In the original PDF document, it was erroneously recorded as 35.70%.</t>
        </r>
      </text>
    </comment>
    <comment ref="F30" authorId="1">
      <text>
        <r>
          <rPr>
            <b/>
            <sz val="8"/>
            <rFont val="Tahoma"/>
            <family val="2"/>
          </rPr>
          <t>San Chee:</t>
        </r>
        <r>
          <rPr>
            <sz val="8"/>
            <rFont val="Tahoma"/>
            <family val="2"/>
          </rPr>
          <t xml:space="preserve">
This is the corrected number.
In the original PDF document, it was erroneously recorded as 39.20%.</t>
        </r>
      </text>
    </comment>
  </commentList>
</comments>
</file>

<file path=xl/sharedStrings.xml><?xml version="1.0" encoding="utf-8"?>
<sst xmlns="http://schemas.openxmlformats.org/spreadsheetml/2006/main" count="126" uniqueCount="70">
  <si>
    <t>REVENUES</t>
  </si>
  <si>
    <t>Products</t>
  </si>
  <si>
    <t>Service</t>
  </si>
  <si>
    <t>TOTAL REVENUE</t>
  </si>
  <si>
    <t>EXPENSES</t>
  </si>
  <si>
    <t>COGS</t>
  </si>
  <si>
    <t>Administration</t>
  </si>
  <si>
    <t>Utilities</t>
  </si>
  <si>
    <t>Rent</t>
  </si>
  <si>
    <t>Depreciation</t>
  </si>
  <si>
    <t>Consultants</t>
  </si>
  <si>
    <t>Bad debt</t>
  </si>
  <si>
    <t>TOTAL EXPENSES</t>
  </si>
  <si>
    <t>EBIT</t>
  </si>
  <si>
    <t>Margin</t>
  </si>
  <si>
    <t>EBITDA</t>
  </si>
  <si>
    <t>UNITS</t>
  </si>
  <si>
    <t>PRICE</t>
  </si>
  <si>
    <t>Week1 Exercise1: Income Statement Forecasting</t>
  </si>
  <si>
    <t>&lt;historical data&gt;</t>
  </si>
  <si>
    <t>Errata:</t>
  </si>
  <si>
    <t>If you are re-using this Excel file for your Exercise, you may remove this section to make more room for your work.</t>
  </si>
  <si>
    <t>In the original historical data PDF file, the Margins for 2007, 2008 and 2009 is actually wrong.</t>
  </si>
  <si>
    <t>It has been correct below; those marked in red. If in Excel form, you can mouse over the cell to see additional comments on it.</t>
  </si>
  <si>
    <t>2013 Summer1</t>
  </si>
  <si>
    <t>Operating cash flow</t>
  </si>
  <si>
    <t>Cash flow of the Firm</t>
  </si>
  <si>
    <t>Year 2010</t>
  </si>
  <si>
    <t>Year 20111</t>
  </si>
  <si>
    <t>Year 2012</t>
  </si>
  <si>
    <t>Year 2013</t>
  </si>
  <si>
    <t>Year 2014</t>
  </si>
  <si>
    <t>Year 2015</t>
  </si>
  <si>
    <t>Year 2016</t>
  </si>
  <si>
    <t>Year 2017</t>
  </si>
  <si>
    <t>Year 2018</t>
  </si>
  <si>
    <t>Year 2019</t>
  </si>
  <si>
    <t xml:space="preserve"> </t>
  </si>
  <si>
    <t>(EBIT-plus depreciation minus taxes @40%)</t>
  </si>
  <si>
    <t>Cash flow from operation (EBIT net +Depreciation)</t>
  </si>
  <si>
    <t>Cash flow from investing activties</t>
  </si>
  <si>
    <t>Capital expenditures</t>
  </si>
  <si>
    <t>Leasehold improvements</t>
  </si>
  <si>
    <t>Working Capital (net) A/R+inventory-A/P</t>
  </si>
  <si>
    <t>Capital Expenditures of $50,000 per year.</t>
  </si>
  <si>
    <t>Leasehold Improvements of $10,000 per year.</t>
  </si>
  <si>
    <t>DSO of 75 Days.</t>
  </si>
  <si>
    <t>Inventory Turnover of 12 times.</t>
  </si>
  <si>
    <t>Accounts Payable of 30 days.</t>
  </si>
  <si>
    <t>Depreciation is constant.</t>
  </si>
  <si>
    <t>The combined Federal and State Tax Rate is 40%.</t>
  </si>
  <si>
    <t>There are no additional financing expenses associated with the transaction.</t>
  </si>
  <si>
    <t>After you have completed your cash flow forecast, calculate a Net Present Value assuming a discount rate of 15%.</t>
  </si>
  <si>
    <t>In Module 3, you will take your income statements and start to construct a cash flow that will also extend into Week 3. For the most part, cash flows are pretty straight forward. If you're going to experience trouble, it almost always happens with working capital. Remember that once you've calculated the Total Working Capital for Year 0, all future Working Capital needs will be incremental. Almost all of the variables will be provided to you here.</t>
  </si>
  <si>
    <t>Using the income statement from Assignment 1, forecast a ten year cash flow using the following assumptions:</t>
  </si>
  <si>
    <t>*(A/R)=revenue/3600*DSO</t>
  </si>
  <si>
    <t>A/P= (Total expenses-Depr)*AP days/360</t>
  </si>
  <si>
    <t>Inventory=COGS/Inventory Turnover</t>
  </si>
  <si>
    <t>Total Investment</t>
  </si>
  <si>
    <t>Net Cash flow from operations-Total Investments</t>
  </si>
  <si>
    <t xml:space="preserve"> Week 2 Exercise 2: Cash-flow Forecasting</t>
  </si>
  <si>
    <t>Cash flow from Operation (EBIT Net + Depreciation)</t>
  </si>
  <si>
    <t>Cash flow from Investing Activities</t>
  </si>
  <si>
    <t>*(A/R)=revenue/360*DSO</t>
  </si>
  <si>
    <t>Total Investment (cap ex +Leasholds+ working capital)</t>
  </si>
  <si>
    <t>Net Present Value @15% discount</t>
  </si>
  <si>
    <t xml:space="preserve"> Net Cash flow (net income+Depreciation)</t>
  </si>
  <si>
    <t>Operating Cash flow (EBIT/taxes @40%)</t>
  </si>
  <si>
    <t>(Detail of working capital)</t>
  </si>
  <si>
    <r>
      <t>Cash Flow Net income</t>
    </r>
    <r>
      <rPr>
        <b/>
        <sz val="10"/>
        <color indexed="8"/>
        <rFont val="Arial"/>
        <family val="2"/>
      </rPr>
      <t xml:space="preserve"> </t>
    </r>
    <r>
      <rPr>
        <sz val="10"/>
        <color indexed="8"/>
        <rFont val="Arial"/>
        <family val="2"/>
      </rPr>
      <t>(EBIT-taxes)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</si>
</sst>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Z$&quot;#,##0_);\(&quot;Z$&quot;#,##0\)"/>
    <numFmt numFmtId="179" formatCode="&quot;Z$&quot;#,##0_);[Red]\(&quot;Z$&quot;#,##0\)"/>
    <numFmt numFmtId="180" formatCode="&quot;Z$&quot;#,##0.00_);\(&quot;Z$&quot;#,##0.00\)"/>
    <numFmt numFmtId="181" formatCode="&quot;Z$&quot;#,##0.00_);[Red]\(&quot;Z$&quot;#,##0.00\)"/>
    <numFmt numFmtId="182" formatCode="_(&quot;Z$&quot;* #,##0_);_(&quot;Z$&quot;* \(#,##0\);_(&quot;Z$&quot;* &quot;-&quot;_);_(@_)"/>
    <numFmt numFmtId="183" formatCode="_(&quot;Z$&quot;* #,##0.00_);_(&quot;Z$&quot;* \(#,##0.00\);_(&quot;Z$&quot;* &quot;-&quot;??_);_(@_)"/>
    <numFmt numFmtId="184" formatCode="&quot;$&quot;#,##0.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b/>
      <sz val="10"/>
      <name val="Arial"/>
      <family val="2"/>
    </font>
    <font>
      <sz val="8"/>
      <name val="Arial"/>
      <family val="0"/>
    </font>
    <font>
      <b/>
      <sz val="10"/>
      <color indexed="23"/>
      <name val="Arial"/>
      <family val="2"/>
    </font>
    <font>
      <sz val="10"/>
      <color indexed="23"/>
      <name val="Arial"/>
      <family val="2"/>
    </font>
    <font>
      <sz val="8"/>
      <name val="Tahoma"/>
      <family val="0"/>
    </font>
    <font>
      <b/>
      <sz val="8"/>
      <name val="Tahoma"/>
      <family val="0"/>
    </font>
    <font>
      <b/>
      <u val="single"/>
      <sz val="10"/>
      <name val="Arial"/>
      <family val="2"/>
    </font>
    <font>
      <b/>
      <sz val="10"/>
      <color indexed="10"/>
      <name val="Arial"/>
      <family val="2"/>
    </font>
    <font>
      <i/>
      <sz val="10"/>
      <color indexed="10"/>
      <name val="Arial"/>
      <family val="2"/>
    </font>
    <font>
      <sz val="10"/>
      <color indexed="9"/>
      <name val="Arial"/>
      <family val="0"/>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Inherit"/>
      <family val="0"/>
    </font>
    <font>
      <sz val="10"/>
      <color indexed="8"/>
      <name val="Inherit"/>
      <family val="0"/>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Inherit"/>
      <family val="0"/>
    </font>
    <font>
      <sz val="10"/>
      <color rgb="FF000000"/>
      <name val="Inherit"/>
      <family val="0"/>
    </font>
    <font>
      <b/>
      <sz val="10"/>
      <color theme="1"/>
      <name val="Arial"/>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double"/>
    </border>
    <border>
      <left style="medium"/>
      <right>
        <color indexed="63"/>
      </right>
      <top style="thin"/>
      <bottom style="double"/>
    </border>
    <border>
      <left>
        <color indexed="63"/>
      </left>
      <right style="medium"/>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theme="1"/>
      </left>
      <right style="medium">
        <color theme="1"/>
      </right>
      <top style="medium">
        <color theme="1"/>
      </top>
      <bottom>
        <color indexed="63"/>
      </bottom>
    </border>
    <border>
      <left style="medium">
        <color theme="1"/>
      </left>
      <right style="medium">
        <color theme="1"/>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color theme="1"/>
      </left>
      <right style="medium">
        <color theme="1"/>
      </right>
      <top>
        <color indexed="63"/>
      </top>
      <bottom style="thin"/>
    </border>
    <border>
      <left style="medium">
        <color theme="1"/>
      </left>
      <right style="medium">
        <color theme="1"/>
      </right>
      <top style="thin"/>
      <bottom style="double"/>
    </border>
    <border>
      <left style="medium"/>
      <right>
        <color indexed="63"/>
      </right>
      <top style="thin"/>
      <bottom style="thin"/>
    </border>
    <border>
      <left>
        <color indexed="63"/>
      </left>
      <right>
        <color indexed="63"/>
      </right>
      <top style="thin"/>
      <bottom style="thin"/>
    </border>
    <border>
      <left style="medium">
        <color theme="1"/>
      </left>
      <right style="medium">
        <color theme="1"/>
      </right>
      <top style="thin"/>
      <bottom style="thin"/>
    </border>
    <border>
      <left style="medium">
        <color theme="1"/>
      </left>
      <right style="medium">
        <color theme="1"/>
      </right>
      <top>
        <color indexed="63"/>
      </top>
      <bottom style="medium">
        <color theme="1"/>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184" fontId="0" fillId="0" borderId="0" xfId="0" applyNumberFormat="1" applyAlignment="1">
      <alignment/>
    </xf>
    <xf numFmtId="0" fontId="0" fillId="0" borderId="10" xfId="0" applyBorder="1" applyAlignment="1">
      <alignment/>
    </xf>
    <xf numFmtId="0" fontId="0" fillId="0" borderId="11" xfId="0"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184" fontId="0" fillId="0" borderId="10" xfId="0" applyNumberFormat="1" applyBorder="1" applyAlignment="1">
      <alignment/>
    </xf>
    <xf numFmtId="184" fontId="0" fillId="0" borderId="11" xfId="0" applyNumberForma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xf>
    <xf numFmtId="3" fontId="1" fillId="0" borderId="14"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184" fontId="0" fillId="0" borderId="17" xfId="0" applyNumberFormat="1" applyBorder="1" applyAlignment="1">
      <alignment/>
    </xf>
    <xf numFmtId="184" fontId="0" fillId="0" borderId="18" xfId="0" applyNumberFormat="1" applyBorder="1" applyAlignment="1">
      <alignment/>
    </xf>
    <xf numFmtId="0" fontId="0" fillId="0" borderId="19" xfId="0" applyBorder="1" applyAlignment="1">
      <alignment/>
    </xf>
    <xf numFmtId="0" fontId="0" fillId="0" borderId="20" xfId="0" applyBorder="1" applyAlignment="1">
      <alignment/>
    </xf>
    <xf numFmtId="0" fontId="3" fillId="0" borderId="12" xfId="0" applyFont="1" applyBorder="1" applyAlignment="1">
      <alignment/>
    </xf>
    <xf numFmtId="184" fontId="4" fillId="0" borderId="19" xfId="0" applyNumberFormat="1" applyFont="1" applyBorder="1" applyAlignment="1">
      <alignment/>
    </xf>
    <xf numFmtId="184" fontId="4" fillId="0" borderId="20" xfId="0" applyNumberFormat="1" applyFont="1" applyBorder="1" applyAlignment="1">
      <alignment/>
    </xf>
    <xf numFmtId="0" fontId="3" fillId="0" borderId="13" xfId="0" applyFont="1" applyBorder="1" applyAlignment="1">
      <alignment/>
    </xf>
    <xf numFmtId="0" fontId="4" fillId="0" borderId="11" xfId="0" applyFont="1" applyBorder="1" applyAlignment="1">
      <alignment/>
    </xf>
    <xf numFmtId="0" fontId="4" fillId="0" borderId="10" xfId="0" applyFont="1" applyBorder="1" applyAlignment="1">
      <alignment/>
    </xf>
    <xf numFmtId="184" fontId="4" fillId="0" borderId="0" xfId="0" applyNumberFormat="1" applyFont="1" applyBorder="1" applyAlignment="1">
      <alignment/>
    </xf>
    <xf numFmtId="184" fontId="4" fillId="0" borderId="11" xfId="0" applyNumberFormat="1" applyFont="1" applyBorder="1" applyAlignment="1">
      <alignment/>
    </xf>
    <xf numFmtId="0" fontId="3" fillId="0" borderId="21" xfId="0" applyFont="1" applyBorder="1" applyAlignment="1">
      <alignment/>
    </xf>
    <xf numFmtId="10" fontId="4" fillId="0" borderId="22" xfId="59" applyNumberFormat="1" applyFont="1" applyBorder="1" applyAlignment="1">
      <alignment/>
    </xf>
    <xf numFmtId="0" fontId="4" fillId="0" borderId="15" xfId="0" applyFont="1" applyBorder="1" applyAlignment="1">
      <alignment/>
    </xf>
    <xf numFmtId="184" fontId="4" fillId="0" borderId="10" xfId="0" applyNumberFormat="1" applyFont="1" applyBorder="1" applyAlignment="1">
      <alignment/>
    </xf>
    <xf numFmtId="10" fontId="4" fillId="0" borderId="14" xfId="59" applyNumberFormat="1" applyFont="1" applyBorder="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10" fillId="0" borderId="0" xfId="0" applyFont="1" applyAlignment="1">
      <alignment/>
    </xf>
    <xf numFmtId="10" fontId="8" fillId="0" borderId="0" xfId="59" applyNumberFormat="1" applyFont="1" applyBorder="1" applyAlignment="1">
      <alignment/>
    </xf>
    <xf numFmtId="184" fontId="8" fillId="0" borderId="20" xfId="0" applyNumberFormat="1" applyFont="1" applyBorder="1" applyAlignment="1">
      <alignment/>
    </xf>
    <xf numFmtId="184" fontId="8" fillId="0" borderId="11" xfId="0" applyNumberFormat="1" applyFont="1" applyBorder="1" applyAlignment="1">
      <alignment/>
    </xf>
    <xf numFmtId="10" fontId="8" fillId="0" borderId="10" xfId="59" applyNumberFormat="1" applyFont="1" applyBorder="1" applyAlignment="1">
      <alignment/>
    </xf>
    <xf numFmtId="0" fontId="1" fillId="33" borderId="19" xfId="0" applyFont="1" applyFill="1" applyBorder="1" applyAlignment="1">
      <alignment/>
    </xf>
    <xf numFmtId="0" fontId="1" fillId="33" borderId="23" xfId="0" applyFont="1" applyFill="1" applyBorder="1" applyAlignment="1">
      <alignment/>
    </xf>
    <xf numFmtId="0" fontId="1" fillId="33" borderId="10" xfId="0" applyFont="1" applyFill="1" applyBorder="1" applyAlignment="1">
      <alignment/>
    </xf>
    <xf numFmtId="0" fontId="1" fillId="33" borderId="0" xfId="0" applyFont="1" applyFill="1" applyBorder="1" applyAlignment="1">
      <alignment/>
    </xf>
    <xf numFmtId="43" fontId="0" fillId="33" borderId="14" xfId="42" applyFont="1" applyFill="1" applyBorder="1" applyAlignment="1">
      <alignment/>
    </xf>
    <xf numFmtId="43" fontId="0" fillId="33" borderId="22" xfId="42" applyFont="1" applyFill="1" applyBorder="1" applyAlignment="1">
      <alignment/>
    </xf>
    <xf numFmtId="0" fontId="0" fillId="33" borderId="10" xfId="0" applyFill="1" applyBorder="1" applyAlignment="1">
      <alignment/>
    </xf>
    <xf numFmtId="0" fontId="0" fillId="33" borderId="0" xfId="0" applyFill="1" applyBorder="1" applyAlignment="1">
      <alignment/>
    </xf>
    <xf numFmtId="43" fontId="0" fillId="33" borderId="10" xfId="42" applyFont="1" applyFill="1" applyBorder="1" applyAlignment="1">
      <alignment/>
    </xf>
    <xf numFmtId="43" fontId="0" fillId="33" borderId="0" xfId="42" applyFont="1" applyFill="1" applyBorder="1" applyAlignment="1">
      <alignment/>
    </xf>
    <xf numFmtId="43" fontId="0" fillId="33" borderId="17" xfId="42" applyFont="1" applyFill="1" applyBorder="1" applyAlignment="1">
      <alignment/>
    </xf>
    <xf numFmtId="43" fontId="0" fillId="33" borderId="24" xfId="42" applyFont="1" applyFill="1" applyBorder="1" applyAlignment="1">
      <alignment/>
    </xf>
    <xf numFmtId="0" fontId="1" fillId="33" borderId="0" xfId="0" applyNumberFormat="1" applyFont="1" applyFill="1" applyBorder="1" applyAlignment="1">
      <alignment/>
    </xf>
    <xf numFmtId="9" fontId="1" fillId="33" borderId="0" xfId="0" applyNumberFormat="1"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ill="1" applyBorder="1" applyAlignment="1">
      <alignment/>
    </xf>
    <xf numFmtId="43" fontId="0" fillId="33" borderId="13" xfId="42" applyFont="1" applyFill="1" applyBorder="1" applyAlignment="1">
      <alignment/>
    </xf>
    <xf numFmtId="43" fontId="0" fillId="33" borderId="21" xfId="42" applyFont="1" applyFill="1" applyBorder="1" applyAlignment="1">
      <alignment/>
    </xf>
    <xf numFmtId="0" fontId="0" fillId="0" borderId="0" xfId="0" applyFill="1" applyAlignment="1">
      <alignment/>
    </xf>
    <xf numFmtId="184" fontId="0" fillId="33" borderId="0" xfId="42" applyNumberFormat="1" applyFont="1" applyFill="1" applyBorder="1" applyAlignment="1">
      <alignment/>
    </xf>
    <xf numFmtId="44" fontId="0" fillId="33" borderId="21" xfId="0" applyNumberFormat="1" applyFill="1" applyBorder="1" applyAlignment="1">
      <alignment/>
    </xf>
    <xf numFmtId="43" fontId="0" fillId="0" borderId="0" xfId="0" applyNumberFormat="1" applyAlignment="1">
      <alignment/>
    </xf>
    <xf numFmtId="39" fontId="0" fillId="33" borderId="0" xfId="42" applyNumberFormat="1" applyFont="1" applyFill="1" applyBorder="1" applyAlignment="1">
      <alignment/>
    </xf>
    <xf numFmtId="43" fontId="0" fillId="0" borderId="0" xfId="42" applyFont="1" applyFill="1" applyAlignment="1">
      <alignment/>
    </xf>
    <xf numFmtId="44" fontId="0" fillId="33" borderId="0" xfId="42" applyNumberFormat="1" applyFont="1" applyFill="1" applyBorder="1" applyAlignment="1">
      <alignment/>
    </xf>
    <xf numFmtId="184" fontId="0" fillId="0" borderId="0" xfId="0" applyNumberFormat="1" applyFill="1" applyAlignment="1">
      <alignment/>
    </xf>
    <xf numFmtId="184" fontId="0" fillId="0" borderId="0" xfId="42" applyNumberFormat="1" applyFont="1" applyFill="1" applyAlignment="1">
      <alignment/>
    </xf>
    <xf numFmtId="43" fontId="0" fillId="33" borderId="13" xfId="42" applyFont="1" applyFill="1" applyBorder="1" applyAlignment="1">
      <alignment/>
    </xf>
    <xf numFmtId="10" fontId="0" fillId="33" borderId="14" xfId="59" applyNumberFormat="1" applyFont="1" applyFill="1" applyBorder="1" applyAlignment="1">
      <alignment/>
    </xf>
    <xf numFmtId="10" fontId="0" fillId="33" borderId="22" xfId="59" applyNumberFormat="1" applyFont="1" applyFill="1" applyBorder="1" applyAlignment="1">
      <alignment/>
    </xf>
    <xf numFmtId="44" fontId="0" fillId="33" borderId="17" xfId="44" applyFont="1" applyFill="1" applyBorder="1" applyAlignment="1">
      <alignment/>
    </xf>
    <xf numFmtId="44" fontId="0" fillId="33" borderId="24" xfId="44" applyFont="1" applyFill="1" applyBorder="1" applyAlignment="1">
      <alignment/>
    </xf>
    <xf numFmtId="44" fontId="0" fillId="33" borderId="16" xfId="44" applyFont="1" applyFill="1" applyBorder="1" applyAlignment="1">
      <alignment/>
    </xf>
    <xf numFmtId="10" fontId="0" fillId="33" borderId="10" xfId="59" applyNumberFormat="1" applyFont="1" applyFill="1" applyBorder="1" applyAlignment="1">
      <alignment/>
    </xf>
    <xf numFmtId="10" fontId="0" fillId="33" borderId="0" xfId="59" applyNumberFormat="1" applyFont="1" applyFill="1" applyBorder="1" applyAlignment="1">
      <alignment/>
    </xf>
    <xf numFmtId="44" fontId="0" fillId="33" borderId="10" xfId="44" applyFont="1" applyFill="1" applyBorder="1" applyAlignment="1">
      <alignment/>
    </xf>
    <xf numFmtId="44" fontId="0" fillId="33" borderId="0" xfId="44" applyFont="1" applyFill="1" applyBorder="1" applyAlignment="1">
      <alignment/>
    </xf>
    <xf numFmtId="44" fontId="0" fillId="33" borderId="13" xfId="44" applyFont="1" applyFill="1" applyBorder="1" applyAlignment="1">
      <alignment/>
    </xf>
    <xf numFmtId="0" fontId="1" fillId="0" borderId="0" xfId="0" applyFont="1" applyAlignment="1">
      <alignment/>
    </xf>
    <xf numFmtId="0" fontId="0" fillId="0" borderId="0" xfId="0" applyFont="1" applyAlignment="1">
      <alignment/>
    </xf>
    <xf numFmtId="43" fontId="0" fillId="0" borderId="0" xfId="42" applyFont="1" applyAlignment="1">
      <alignment/>
    </xf>
    <xf numFmtId="0" fontId="54" fillId="0" borderId="0" xfId="0" applyFont="1" applyAlignment="1">
      <alignment vertical="center"/>
    </xf>
    <xf numFmtId="0" fontId="0" fillId="0" borderId="0" xfId="0" applyAlignment="1">
      <alignment horizontal="left" vertical="center" indent="1"/>
    </xf>
    <xf numFmtId="0" fontId="55" fillId="0" borderId="0" xfId="0" applyFont="1" applyAlignment="1">
      <alignment horizontal="left" vertical="center" indent="1"/>
    </xf>
    <xf numFmtId="0" fontId="0" fillId="0" borderId="0" xfId="0" applyAlignment="1">
      <alignment vertical="center"/>
    </xf>
    <xf numFmtId="0" fontId="55" fillId="0" borderId="0" xfId="0" applyFont="1" applyAlignment="1">
      <alignment vertical="center"/>
    </xf>
    <xf numFmtId="43" fontId="1" fillId="0" borderId="0" xfId="42" applyFont="1" applyAlignment="1">
      <alignment/>
    </xf>
    <xf numFmtId="43" fontId="0" fillId="0" borderId="0" xfId="42" applyFont="1" applyBorder="1" applyAlignment="1">
      <alignment/>
    </xf>
    <xf numFmtId="0" fontId="0" fillId="0" borderId="0" xfId="0" applyBorder="1" applyAlignment="1">
      <alignment/>
    </xf>
    <xf numFmtId="43" fontId="1" fillId="0" borderId="23" xfId="42" applyFont="1" applyBorder="1" applyAlignment="1">
      <alignment/>
    </xf>
    <xf numFmtId="0" fontId="1" fillId="0" borderId="23" xfId="0" applyFont="1" applyBorder="1" applyAlignment="1">
      <alignment/>
    </xf>
    <xf numFmtId="0" fontId="1" fillId="0" borderId="20" xfId="0" applyFont="1" applyBorder="1" applyAlignment="1">
      <alignment/>
    </xf>
    <xf numFmtId="0" fontId="1" fillId="0" borderId="10" xfId="0" applyFont="1" applyBorder="1" applyAlignment="1">
      <alignment/>
    </xf>
    <xf numFmtId="0" fontId="11" fillId="0" borderId="10" xfId="0" applyFont="1" applyBorder="1" applyAlignment="1">
      <alignment/>
    </xf>
    <xf numFmtId="0" fontId="0" fillId="0" borderId="10" xfId="0" applyFont="1" applyBorder="1" applyAlignment="1">
      <alignment wrapText="1"/>
    </xf>
    <xf numFmtId="43" fontId="0" fillId="0" borderId="11" xfId="42" applyFont="1" applyBorder="1" applyAlignment="1">
      <alignment/>
    </xf>
    <xf numFmtId="0" fontId="0" fillId="0" borderId="14" xfId="0" applyFont="1" applyBorder="1" applyAlignment="1">
      <alignment wrapText="1"/>
    </xf>
    <xf numFmtId="43" fontId="0" fillId="0" borderId="22" xfId="42" applyFont="1" applyBorder="1" applyAlignment="1">
      <alignment/>
    </xf>
    <xf numFmtId="0" fontId="0" fillId="0" borderId="22" xfId="0" applyBorder="1" applyAlignment="1">
      <alignment/>
    </xf>
    <xf numFmtId="0" fontId="0" fillId="0" borderId="15" xfId="0" applyBorder="1" applyAlignment="1">
      <alignment/>
    </xf>
    <xf numFmtId="0" fontId="0" fillId="0" borderId="25" xfId="0" applyFont="1" applyBorder="1" applyAlignment="1">
      <alignment wrapText="1"/>
    </xf>
    <xf numFmtId="43" fontId="0" fillId="0" borderId="26" xfId="42" applyFont="1" applyBorder="1" applyAlignment="1">
      <alignment/>
    </xf>
    <xf numFmtId="0" fontId="0" fillId="0" borderId="26" xfId="0" applyBorder="1" applyAlignment="1">
      <alignment/>
    </xf>
    <xf numFmtId="0" fontId="0" fillId="0" borderId="27" xfId="0" applyBorder="1" applyAlignment="1">
      <alignment/>
    </xf>
    <xf numFmtId="43" fontId="0" fillId="0" borderId="0" xfId="42" applyFont="1" applyFill="1" applyAlignment="1">
      <alignment/>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56" fillId="34" borderId="0" xfId="0" applyFont="1" applyFill="1" applyAlignment="1">
      <alignment/>
    </xf>
    <xf numFmtId="184" fontId="57" fillId="34" borderId="0" xfId="0" applyNumberFormat="1" applyFont="1" applyFill="1" applyAlignment="1">
      <alignment/>
    </xf>
    <xf numFmtId="0" fontId="57" fillId="34" borderId="0" xfId="0" applyFont="1" applyFill="1" applyAlignment="1">
      <alignment/>
    </xf>
    <xf numFmtId="0" fontId="57" fillId="34" borderId="19" xfId="0" applyFont="1" applyFill="1" applyBorder="1" applyAlignment="1">
      <alignment/>
    </xf>
    <xf numFmtId="0" fontId="57" fillId="34" borderId="23" xfId="0" applyFont="1" applyFill="1" applyBorder="1" applyAlignment="1">
      <alignment/>
    </xf>
    <xf numFmtId="0" fontId="57" fillId="34" borderId="31" xfId="0" applyFont="1" applyFill="1" applyBorder="1" applyAlignment="1">
      <alignment/>
    </xf>
    <xf numFmtId="184" fontId="57" fillId="34" borderId="31" xfId="0" applyNumberFormat="1" applyFont="1" applyFill="1" applyBorder="1" applyAlignment="1">
      <alignment/>
    </xf>
    <xf numFmtId="0" fontId="57" fillId="34" borderId="10" xfId="0" applyFont="1" applyFill="1" applyBorder="1" applyAlignment="1">
      <alignment/>
    </xf>
    <xf numFmtId="0" fontId="57" fillId="34" borderId="0" xfId="0" applyFont="1" applyFill="1" applyBorder="1" applyAlignment="1">
      <alignment/>
    </xf>
    <xf numFmtId="0" fontId="57" fillId="34" borderId="32" xfId="0" applyFont="1" applyFill="1" applyBorder="1" applyAlignment="1">
      <alignment/>
    </xf>
    <xf numFmtId="43" fontId="57" fillId="34" borderId="10" xfId="42" applyFont="1" applyFill="1" applyBorder="1" applyAlignment="1">
      <alignment/>
    </xf>
    <xf numFmtId="43" fontId="56" fillId="34" borderId="0" xfId="42" applyFont="1" applyFill="1" applyBorder="1" applyAlignment="1">
      <alignment/>
    </xf>
    <xf numFmtId="43" fontId="56" fillId="34" borderId="32" xfId="42" applyFont="1" applyFill="1" applyBorder="1" applyAlignment="1">
      <alignment/>
    </xf>
    <xf numFmtId="43" fontId="57" fillId="34" borderId="0" xfId="42" applyFont="1" applyFill="1" applyAlignment="1">
      <alignment/>
    </xf>
    <xf numFmtId="43" fontId="56" fillId="34" borderId="10" xfId="42" applyFont="1" applyFill="1" applyBorder="1" applyAlignment="1">
      <alignment wrapText="1"/>
    </xf>
    <xf numFmtId="43" fontId="57" fillId="34" borderId="0" xfId="42" applyFont="1" applyFill="1" applyBorder="1" applyAlignment="1">
      <alignment/>
    </xf>
    <xf numFmtId="43" fontId="57" fillId="34" borderId="32" xfId="42" applyFont="1" applyFill="1" applyBorder="1" applyAlignment="1">
      <alignment/>
    </xf>
    <xf numFmtId="43" fontId="57" fillId="34" borderId="10" xfId="42" applyFont="1" applyFill="1" applyBorder="1" applyAlignment="1">
      <alignment wrapText="1"/>
    </xf>
    <xf numFmtId="43" fontId="57" fillId="34" borderId="33" xfId="42" applyFont="1" applyFill="1" applyBorder="1" applyAlignment="1">
      <alignment wrapText="1"/>
    </xf>
    <xf numFmtId="43" fontId="57" fillId="34" borderId="34" xfId="42" applyFont="1" applyFill="1" applyBorder="1" applyAlignment="1">
      <alignment/>
    </xf>
    <xf numFmtId="43" fontId="57" fillId="34" borderId="35" xfId="42" applyFont="1" applyFill="1" applyBorder="1" applyAlignment="1">
      <alignment/>
    </xf>
    <xf numFmtId="43" fontId="57" fillId="34" borderId="24" xfId="42" applyFont="1" applyFill="1" applyBorder="1" applyAlignment="1">
      <alignment/>
    </xf>
    <xf numFmtId="43" fontId="57" fillId="34" borderId="36" xfId="42" applyFont="1" applyFill="1" applyBorder="1" applyAlignment="1">
      <alignment/>
    </xf>
    <xf numFmtId="43" fontId="57" fillId="34" borderId="37" xfId="42" applyFont="1" applyFill="1" applyBorder="1" applyAlignment="1">
      <alignment wrapText="1"/>
    </xf>
    <xf numFmtId="43" fontId="57" fillId="34" borderId="38" xfId="42" applyFont="1" applyFill="1" applyBorder="1" applyAlignment="1">
      <alignment/>
    </xf>
    <xf numFmtId="43" fontId="57" fillId="34" borderId="39" xfId="42" applyFont="1" applyFill="1" applyBorder="1" applyAlignment="1">
      <alignment/>
    </xf>
    <xf numFmtId="43" fontId="57" fillId="34" borderId="38" xfId="42" applyFont="1" applyFill="1" applyBorder="1" applyAlignment="1">
      <alignment wrapText="1"/>
    </xf>
    <xf numFmtId="43" fontId="57" fillId="34" borderId="25" xfId="42" applyFont="1" applyFill="1" applyBorder="1" applyAlignment="1">
      <alignment wrapText="1"/>
    </xf>
    <xf numFmtId="43" fontId="57" fillId="34" borderId="26" xfId="42" applyFont="1" applyFill="1" applyBorder="1" applyAlignment="1">
      <alignment/>
    </xf>
    <xf numFmtId="43" fontId="57" fillId="34" borderId="40" xfId="42" applyFont="1" applyFill="1" applyBorder="1" applyAlignment="1">
      <alignment/>
    </xf>
    <xf numFmtId="43" fontId="57" fillId="34" borderId="41" xfId="42" applyFont="1" applyFill="1" applyBorder="1" applyAlignment="1">
      <alignment/>
    </xf>
    <xf numFmtId="43" fontId="57" fillId="34" borderId="11" xfId="42" applyFont="1" applyFill="1" applyBorder="1" applyAlignment="1">
      <alignment/>
    </xf>
    <xf numFmtId="43" fontId="56" fillId="34" borderId="41" xfId="42" applyFont="1" applyFill="1" applyBorder="1" applyAlignment="1">
      <alignment/>
    </xf>
    <xf numFmtId="43" fontId="57" fillId="34" borderId="14" xfId="42" applyFont="1" applyFill="1" applyBorder="1" applyAlignment="1">
      <alignment/>
    </xf>
    <xf numFmtId="43" fontId="57" fillId="34" borderId="22" xfId="42" applyFont="1" applyFill="1" applyBorder="1" applyAlignment="1">
      <alignment/>
    </xf>
    <xf numFmtId="43" fontId="57" fillId="34" borderId="15" xfId="42" applyFont="1" applyFill="1" applyBorder="1" applyAlignment="1">
      <alignment/>
    </xf>
    <xf numFmtId="0" fontId="57" fillId="34" borderId="0" xfId="42"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7"/>
  <sheetViews>
    <sheetView tabSelected="1" zoomScalePageLayoutView="0" workbookViewId="0" topLeftCell="A13">
      <pane xSplit="1" topLeftCell="B1" activePane="topRight" state="frozen"/>
      <selection pane="topLeft" activeCell="A1" sqref="A1"/>
      <selection pane="topRight" activeCell="A35" sqref="A35:IV75"/>
    </sheetView>
  </sheetViews>
  <sheetFormatPr defaultColWidth="9.140625" defaultRowHeight="12.75"/>
  <cols>
    <col min="1" max="1" width="34.00390625" style="0" customWidth="1"/>
    <col min="2" max="2" width="15.28125" style="0" customWidth="1"/>
    <col min="3" max="3" width="15.57421875" style="0" bestFit="1" customWidth="1"/>
    <col min="4" max="4" width="15.28125" style="0" customWidth="1"/>
    <col min="5" max="5" width="15.57421875" style="0" bestFit="1" customWidth="1"/>
    <col min="6" max="6" width="15.28125" style="0" customWidth="1"/>
    <col min="7" max="7" width="17.7109375" style="0" bestFit="1" customWidth="1"/>
    <col min="8" max="8" width="15.140625" style="58" bestFit="1" customWidth="1"/>
    <col min="9" max="9" width="14.00390625" style="58" bestFit="1" customWidth="1"/>
    <col min="10" max="10" width="15.140625" style="58" bestFit="1" customWidth="1"/>
    <col min="11" max="11" width="14.00390625" style="58" bestFit="1" customWidth="1"/>
    <col min="12" max="12" width="15.00390625" style="58" bestFit="1" customWidth="1"/>
    <col min="13" max="13" width="9.421875" style="58" bestFit="1" customWidth="1"/>
    <col min="14" max="14" width="16.421875" style="58" bestFit="1" customWidth="1"/>
    <col min="15" max="15" width="9.421875" style="58" bestFit="1" customWidth="1"/>
    <col min="16" max="16" width="15.00390625" style="58" bestFit="1" customWidth="1"/>
    <col min="17" max="17" width="9.421875" style="58" bestFit="1" customWidth="1"/>
    <col min="18" max="18" width="15.00390625" style="58" bestFit="1" customWidth="1"/>
    <col min="19" max="19" width="9.421875" style="58" bestFit="1" customWidth="1"/>
    <col min="20" max="20" width="16.421875" style="58" bestFit="1" customWidth="1"/>
    <col min="21" max="21" width="9.421875" style="58" bestFit="1" customWidth="1"/>
    <col min="22" max="22" width="15.00390625" style="58" bestFit="1" customWidth="1"/>
    <col min="23" max="23" width="9.421875" style="58" bestFit="1" customWidth="1"/>
    <col min="24" max="24" width="15.00390625" style="58" bestFit="1" customWidth="1"/>
    <col min="25" max="25" width="9.421875" style="58" bestFit="1" customWidth="1"/>
    <col min="26" max="26" width="21.8515625" style="58" customWidth="1"/>
    <col min="27" max="27" width="9.421875" style="58" bestFit="1" customWidth="1"/>
    <col min="28" max="28" width="13.57421875" style="0" bestFit="1" customWidth="1"/>
  </cols>
  <sheetData>
    <row r="1" spans="1:5" ht="12.75">
      <c r="A1" s="31" t="s">
        <v>18</v>
      </c>
      <c r="E1" s="34" t="s">
        <v>24</v>
      </c>
    </row>
    <row r="2" ht="12.75">
      <c r="A2" s="31"/>
    </row>
    <row r="3" spans="1:2" ht="12.75">
      <c r="A3" s="32" t="s">
        <v>20</v>
      </c>
      <c r="B3" s="33" t="s">
        <v>22</v>
      </c>
    </row>
    <row r="4" spans="1:12" ht="12.75">
      <c r="A4" s="31"/>
      <c r="B4" s="33" t="s">
        <v>23</v>
      </c>
      <c r="L4" s="63"/>
    </row>
    <row r="5" spans="1:12" ht="12.75">
      <c r="A5" s="31"/>
      <c r="B5" s="33" t="s">
        <v>21</v>
      </c>
      <c r="L5" s="65"/>
    </row>
    <row r="6" spans="1:13" ht="12.75">
      <c r="A6" s="31"/>
      <c r="B6" s="33" t="str">
        <f>"- Chee"</f>
        <v>- Chee</v>
      </c>
      <c r="J6" s="66"/>
      <c r="K6" s="65"/>
      <c r="L6" s="65"/>
      <c r="M6" s="65"/>
    </row>
    <row r="7" ht="13.5" thickBot="1">
      <c r="A7" s="31"/>
    </row>
    <row r="8" spans="2:27" ht="13.5" thickBot="1">
      <c r="B8" s="105" t="s">
        <v>19</v>
      </c>
      <c r="C8" s="106"/>
      <c r="D8" s="106"/>
      <c r="E8" s="106"/>
      <c r="F8" s="106"/>
      <c r="G8" s="107"/>
      <c r="H8" s="39" t="s">
        <v>19</v>
      </c>
      <c r="I8" s="40"/>
      <c r="J8" s="40"/>
      <c r="K8" s="40"/>
      <c r="L8" s="40"/>
      <c r="M8" s="40"/>
      <c r="N8" s="40" t="s">
        <v>19</v>
      </c>
      <c r="O8" s="40"/>
      <c r="P8" s="40"/>
      <c r="Q8" s="40"/>
      <c r="R8" s="40"/>
      <c r="S8" s="40"/>
      <c r="T8" s="40" t="s">
        <v>19</v>
      </c>
      <c r="U8" s="40"/>
      <c r="V8" s="40"/>
      <c r="W8" s="40"/>
      <c r="X8" s="40"/>
      <c r="Y8" s="40"/>
      <c r="Z8" s="40"/>
      <c r="AA8" s="53"/>
    </row>
    <row r="9" spans="2:27" ht="13.5" thickBot="1">
      <c r="B9" s="105">
        <v>2007</v>
      </c>
      <c r="C9" s="107"/>
      <c r="D9" s="105">
        <v>2008</v>
      </c>
      <c r="E9" s="107"/>
      <c r="F9" s="105">
        <v>2009</v>
      </c>
      <c r="G9" s="107"/>
      <c r="H9" s="41">
        <v>2010</v>
      </c>
      <c r="I9" s="42"/>
      <c r="J9" s="42">
        <v>2011</v>
      </c>
      <c r="K9" s="42"/>
      <c r="L9" s="42">
        <v>2012</v>
      </c>
      <c r="M9" s="42"/>
      <c r="N9" s="51">
        <v>2013</v>
      </c>
      <c r="O9" s="42"/>
      <c r="P9" s="42">
        <v>2014</v>
      </c>
      <c r="Q9" s="42"/>
      <c r="R9" s="42">
        <v>2015</v>
      </c>
      <c r="S9" s="42"/>
      <c r="T9" s="42">
        <v>2016</v>
      </c>
      <c r="U9" s="42"/>
      <c r="V9" s="42">
        <v>2017</v>
      </c>
      <c r="W9" s="42"/>
      <c r="X9" s="42">
        <v>2018</v>
      </c>
      <c r="Y9" s="42"/>
      <c r="Z9" s="42">
        <v>2019</v>
      </c>
      <c r="AA9" s="54"/>
    </row>
    <row r="10" spans="2:27" ht="12.75">
      <c r="B10" s="4" t="s">
        <v>16</v>
      </c>
      <c r="C10" s="5" t="s">
        <v>17</v>
      </c>
      <c r="D10" s="4" t="s">
        <v>16</v>
      </c>
      <c r="E10" s="5" t="s">
        <v>17</v>
      </c>
      <c r="F10" s="4" t="s">
        <v>16</v>
      </c>
      <c r="G10" s="5" t="s">
        <v>17</v>
      </c>
      <c r="H10" s="41" t="s">
        <v>16</v>
      </c>
      <c r="I10" s="42" t="s">
        <v>17</v>
      </c>
      <c r="J10" s="42" t="s">
        <v>16</v>
      </c>
      <c r="K10" s="42" t="s">
        <v>17</v>
      </c>
      <c r="L10" s="42" t="s">
        <v>16</v>
      </c>
      <c r="M10" s="42" t="s">
        <v>17</v>
      </c>
      <c r="N10" s="52" t="s">
        <v>16</v>
      </c>
      <c r="O10" s="42" t="s">
        <v>17</v>
      </c>
      <c r="P10" s="42" t="s">
        <v>16</v>
      </c>
      <c r="Q10" s="42" t="s">
        <v>17</v>
      </c>
      <c r="R10" s="42" t="s">
        <v>16</v>
      </c>
      <c r="S10" s="42" t="s">
        <v>17</v>
      </c>
      <c r="T10" s="42" t="s">
        <v>16</v>
      </c>
      <c r="U10" s="42" t="s">
        <v>17</v>
      </c>
      <c r="V10" s="42" t="s">
        <v>16</v>
      </c>
      <c r="W10" s="42" t="s">
        <v>17</v>
      </c>
      <c r="X10" s="42" t="s">
        <v>16</v>
      </c>
      <c r="Y10" s="42" t="s">
        <v>17</v>
      </c>
      <c r="Z10" s="42" t="s">
        <v>16</v>
      </c>
      <c r="AA10" s="54" t="s">
        <v>17</v>
      </c>
    </row>
    <row r="11" spans="2:27" ht="13.5" thickBot="1">
      <c r="B11" s="11">
        <v>500000</v>
      </c>
      <c r="C11" s="12"/>
      <c r="D11" s="11">
        <v>540000</v>
      </c>
      <c r="E11" s="12"/>
      <c r="F11" s="11">
        <v>577800</v>
      </c>
      <c r="G11" s="12"/>
      <c r="H11" s="43">
        <v>606690</v>
      </c>
      <c r="I11" s="44"/>
      <c r="J11" s="44">
        <v>637024.5</v>
      </c>
      <c r="K11" s="44">
        <v>0</v>
      </c>
      <c r="L11" s="44">
        <v>668875.725</v>
      </c>
      <c r="M11" s="44">
        <v>0</v>
      </c>
      <c r="N11" s="44">
        <v>702319.51125</v>
      </c>
      <c r="O11" s="44">
        <v>0</v>
      </c>
      <c r="P11" s="44">
        <v>737435.4868125</v>
      </c>
      <c r="Q11" s="44">
        <v>0</v>
      </c>
      <c r="R11" s="44">
        <v>774307.2611531251</v>
      </c>
      <c r="S11" s="44">
        <v>0</v>
      </c>
      <c r="T11" s="44">
        <v>813022.6242107814</v>
      </c>
      <c r="U11" s="44">
        <v>0</v>
      </c>
      <c r="V11" s="44">
        <v>853673.7554213206</v>
      </c>
      <c r="W11" s="44">
        <v>0</v>
      </c>
      <c r="X11" s="44">
        <v>896357.4431923867</v>
      </c>
      <c r="Y11" s="44">
        <v>0</v>
      </c>
      <c r="Z11" s="44">
        <v>941175.315352006</v>
      </c>
      <c r="AA11" s="60">
        <v>0</v>
      </c>
    </row>
    <row r="12" spans="1:27" ht="12.75">
      <c r="A12" s="8" t="s">
        <v>0</v>
      </c>
      <c r="B12" s="16"/>
      <c r="C12" s="17"/>
      <c r="D12" s="16"/>
      <c r="E12" s="17"/>
      <c r="F12" s="16"/>
      <c r="G12" s="17"/>
      <c r="H12" s="45"/>
      <c r="I12" s="46"/>
      <c r="J12" s="46"/>
      <c r="K12" s="46"/>
      <c r="L12" s="46"/>
      <c r="M12" s="46"/>
      <c r="N12" s="46"/>
      <c r="O12" s="46"/>
      <c r="P12" s="46"/>
      <c r="Q12" s="46"/>
      <c r="R12" s="46"/>
      <c r="S12" s="46"/>
      <c r="T12" s="46"/>
      <c r="U12" s="46"/>
      <c r="V12" s="46"/>
      <c r="W12" s="46"/>
      <c r="X12" s="46"/>
      <c r="Y12" s="46"/>
      <c r="Z12" s="46"/>
      <c r="AA12" s="55"/>
    </row>
    <row r="13" spans="1:27" ht="12.75">
      <c r="A13" s="9" t="s">
        <v>1</v>
      </c>
      <c r="B13" s="6">
        <v>25000000</v>
      </c>
      <c r="C13" s="7">
        <v>50</v>
      </c>
      <c r="D13" s="6">
        <v>28080000</v>
      </c>
      <c r="E13" s="7">
        <v>52</v>
      </c>
      <c r="F13" s="6">
        <v>30946968</v>
      </c>
      <c r="G13" s="7">
        <v>53.56</v>
      </c>
      <c r="H13" s="47">
        <v>34120245.6</v>
      </c>
      <c r="I13" s="59">
        <v>56.23800000000001</v>
      </c>
      <c r="J13" s="48">
        <v>37616233.02255</v>
      </c>
      <c r="K13" s="59">
        <v>59.04990000000001</v>
      </c>
      <c r="L13" s="48">
        <v>41470294.949999996</v>
      </c>
      <c r="M13" s="64">
        <v>62.002395000000014</v>
      </c>
      <c r="N13" s="48">
        <v>45721000.18237499</v>
      </c>
      <c r="O13" s="48">
        <v>65.10251475000001</v>
      </c>
      <c r="P13" s="48">
        <v>50411089.8785025</v>
      </c>
      <c r="Q13" s="48">
        <v>68.35764048750002</v>
      </c>
      <c r="R13" s="48">
        <v>55579775.205571316</v>
      </c>
      <c r="S13" s="48">
        <v>71.77552251187502</v>
      </c>
      <c r="T13" s="48">
        <v>61269384.960524485</v>
      </c>
      <c r="U13" s="48">
        <v>75.36429863746878</v>
      </c>
      <c r="V13" s="48">
        <v>67551204.26648909</v>
      </c>
      <c r="W13" s="48">
        <v>79.13251356934222</v>
      </c>
      <c r="X13" s="48">
        <v>74478339.95485541</v>
      </c>
      <c r="Y13" s="48">
        <v>83.08913924780934</v>
      </c>
      <c r="Z13" s="48">
        <v>82108134.511309</v>
      </c>
      <c r="AA13" s="56">
        <v>87.24359621019981</v>
      </c>
    </row>
    <row r="14" spans="1:27" ht="12.75">
      <c r="A14" s="9" t="s">
        <v>2</v>
      </c>
      <c r="B14" s="6">
        <v>1500000</v>
      </c>
      <c r="C14" s="1">
        <v>3</v>
      </c>
      <c r="D14" s="6">
        <v>1593000</v>
      </c>
      <c r="E14" s="7">
        <v>2.95</v>
      </c>
      <c r="F14" s="6">
        <v>1675620</v>
      </c>
      <c r="G14" s="7">
        <v>2.9</v>
      </c>
      <c r="H14" s="47">
        <v>1850404.5</v>
      </c>
      <c r="I14" s="62">
        <v>3.045</v>
      </c>
      <c r="J14" s="48">
        <v>2038478.4000000001</v>
      </c>
      <c r="K14" s="48">
        <v>3.19725</v>
      </c>
      <c r="L14" s="48">
        <v>2247422.4359999998</v>
      </c>
      <c r="M14" s="48">
        <v>3.3571125</v>
      </c>
      <c r="N14" s="48">
        <v>2472164.6796</v>
      </c>
      <c r="O14" s="48">
        <v>3.524968125</v>
      </c>
      <c r="P14" s="48">
        <v>2728511.30120625</v>
      </c>
      <c r="Q14" s="48">
        <v>3.70121653125</v>
      </c>
      <c r="R14" s="48">
        <v>3012055.2458856567</v>
      </c>
      <c r="S14" s="48">
        <v>3.8862773578125003</v>
      </c>
      <c r="T14" s="48">
        <v>3317132.306779988</v>
      </c>
      <c r="U14" s="48">
        <v>4.080591225703126</v>
      </c>
      <c r="V14" s="48">
        <v>3653723.6732032523</v>
      </c>
      <c r="W14" s="48">
        <v>4.284620786988282</v>
      </c>
      <c r="X14" s="48">
        <v>4033608.49436574</v>
      </c>
      <c r="Y14" s="48">
        <v>4.498851826337696</v>
      </c>
      <c r="Z14" s="48">
        <v>4442347.488461468</v>
      </c>
      <c r="AA14" s="56">
        <v>4.723794417654581</v>
      </c>
    </row>
    <row r="15" spans="1:27" ht="12.75">
      <c r="A15" s="10"/>
      <c r="B15" s="2"/>
      <c r="C15" s="3"/>
      <c r="D15" s="2"/>
      <c r="E15" s="3"/>
      <c r="F15" s="2"/>
      <c r="G15" s="3"/>
      <c r="H15" s="47"/>
      <c r="I15" s="48"/>
      <c r="J15" s="48"/>
      <c r="K15" s="48"/>
      <c r="L15" s="48"/>
      <c r="M15" s="48"/>
      <c r="N15" s="48"/>
      <c r="O15" s="48"/>
      <c r="P15" s="48"/>
      <c r="Q15" s="48"/>
      <c r="R15" s="48"/>
      <c r="S15" s="48"/>
      <c r="T15" s="48"/>
      <c r="U15" s="48"/>
      <c r="V15" s="48"/>
      <c r="W15" s="48"/>
      <c r="X15" s="48"/>
      <c r="Y15" s="48"/>
      <c r="Z15" s="48"/>
      <c r="AA15" s="56"/>
    </row>
    <row r="16" spans="1:27" ht="13.5" thickBot="1">
      <c r="A16" s="13" t="s">
        <v>3</v>
      </c>
      <c r="B16" s="14">
        <v>26500000</v>
      </c>
      <c r="C16" s="15">
        <v>53</v>
      </c>
      <c r="D16" s="14">
        <v>29673000</v>
      </c>
      <c r="E16" s="15">
        <v>54.95</v>
      </c>
      <c r="F16" s="14">
        <v>32622588</v>
      </c>
      <c r="G16" s="15">
        <v>56.46</v>
      </c>
      <c r="H16" s="70">
        <v>35970650.1</v>
      </c>
      <c r="I16" s="71">
        <v>59.28300000000001</v>
      </c>
      <c r="J16" s="71">
        <v>39654711.42255</v>
      </c>
      <c r="K16" s="71">
        <v>62.247150000000005</v>
      </c>
      <c r="L16" s="71">
        <v>43717717.38599999</v>
      </c>
      <c r="M16" s="71">
        <v>65.35950750000002</v>
      </c>
      <c r="N16" s="71">
        <v>48193164.86197499</v>
      </c>
      <c r="O16" s="71">
        <v>68.62748287500001</v>
      </c>
      <c r="P16" s="71">
        <v>53139601.17970876</v>
      </c>
      <c r="Q16" s="71">
        <v>72.05885701875002</v>
      </c>
      <c r="R16" s="71">
        <v>58591830.45145697</v>
      </c>
      <c r="S16" s="71">
        <v>75.66179986968753</v>
      </c>
      <c r="T16" s="71">
        <v>64586517.26730447</v>
      </c>
      <c r="U16" s="71">
        <v>79.44488986317191</v>
      </c>
      <c r="V16" s="71">
        <v>71204927.93969235</v>
      </c>
      <c r="W16" s="71">
        <v>83.41713435633051</v>
      </c>
      <c r="X16" s="71">
        <v>78511948.44922115</v>
      </c>
      <c r="Y16" s="71">
        <v>87.58799107414704</v>
      </c>
      <c r="Z16" s="71">
        <v>86550481.99977046</v>
      </c>
      <c r="AA16" s="72">
        <v>91.9673906278544</v>
      </c>
    </row>
    <row r="17" spans="1:27" ht="13.5" thickTop="1">
      <c r="A17" s="9"/>
      <c r="B17" s="2"/>
      <c r="C17" s="3"/>
      <c r="D17" s="2"/>
      <c r="E17" s="3"/>
      <c r="F17" s="2"/>
      <c r="G17" s="3"/>
      <c r="H17" s="47"/>
      <c r="I17" s="48"/>
      <c r="J17" s="48"/>
      <c r="K17" s="48"/>
      <c r="L17" s="48"/>
      <c r="M17" s="48"/>
      <c r="N17" s="48"/>
      <c r="O17" s="48"/>
      <c r="P17" s="48"/>
      <c r="Q17" s="48"/>
      <c r="R17" s="48"/>
      <c r="S17" s="48"/>
      <c r="T17" s="48"/>
      <c r="U17" s="48"/>
      <c r="V17" s="48"/>
      <c r="W17" s="48"/>
      <c r="X17" s="48"/>
      <c r="Y17" s="48"/>
      <c r="Z17" s="48"/>
      <c r="AA17" s="56"/>
    </row>
    <row r="18" spans="1:27" ht="12.75">
      <c r="A18" s="9" t="s">
        <v>4</v>
      </c>
      <c r="B18" s="2"/>
      <c r="C18" s="3"/>
      <c r="D18" s="2"/>
      <c r="E18" s="3"/>
      <c r="F18" s="2"/>
      <c r="G18" s="3"/>
      <c r="H18" s="47"/>
      <c r="I18" s="48"/>
      <c r="J18" s="48"/>
      <c r="K18" s="48"/>
      <c r="L18" s="48"/>
      <c r="M18" s="48"/>
      <c r="N18" s="48"/>
      <c r="O18" s="48"/>
      <c r="P18" s="48"/>
      <c r="Q18" s="48"/>
      <c r="R18" s="48"/>
      <c r="S18" s="48"/>
      <c r="T18" s="48"/>
      <c r="U18" s="48"/>
      <c r="V18" s="48"/>
      <c r="W18" s="48"/>
      <c r="X18" s="48"/>
      <c r="Y18" s="48"/>
      <c r="Z18" s="48"/>
      <c r="AA18" s="56"/>
    </row>
    <row r="19" spans="1:28" ht="12.75">
      <c r="A19" s="10" t="s">
        <v>5</v>
      </c>
      <c r="B19" s="6">
        <v>10000000</v>
      </c>
      <c r="C19" s="7">
        <v>20</v>
      </c>
      <c r="D19" s="6">
        <v>11124000</v>
      </c>
      <c r="E19" s="7">
        <v>20.6</v>
      </c>
      <c r="F19" s="6">
        <v>12260916</v>
      </c>
      <c r="G19" s="7">
        <v>21.22</v>
      </c>
      <c r="H19" s="47">
        <v>12873961.8</v>
      </c>
      <c r="I19" s="48">
        <v>21.220000000000002</v>
      </c>
      <c r="J19" s="48">
        <v>13517659.89</v>
      </c>
      <c r="K19" s="48">
        <v>21.220000000000002</v>
      </c>
      <c r="L19" s="48">
        <v>14193542.8845</v>
      </c>
      <c r="M19" s="48">
        <v>21.220000000000002</v>
      </c>
      <c r="N19" s="48">
        <v>14903220.028725</v>
      </c>
      <c r="O19" s="48">
        <v>21.220000000000002</v>
      </c>
      <c r="P19" s="48">
        <v>15648381.03016125</v>
      </c>
      <c r="Q19" s="48">
        <v>21.22</v>
      </c>
      <c r="R19" s="48">
        <v>16430800.081669312</v>
      </c>
      <c r="S19" s="48">
        <v>21.219999999999995</v>
      </c>
      <c r="T19" s="48">
        <v>17252340.085752778</v>
      </c>
      <c r="U19" s="48">
        <v>21.219999999999995</v>
      </c>
      <c r="V19" s="48">
        <v>18114957.090040416</v>
      </c>
      <c r="W19" s="48">
        <v>21.21999999999999</v>
      </c>
      <c r="X19" s="48">
        <v>19020704.944542438</v>
      </c>
      <c r="Y19" s="48">
        <v>21.21999999999999</v>
      </c>
      <c r="Z19" s="48">
        <v>19971740.19176956</v>
      </c>
      <c r="AA19" s="67">
        <v>21.21999999999999</v>
      </c>
      <c r="AB19" s="61"/>
    </row>
    <row r="20" spans="1:28" ht="12.75">
      <c r="A20" s="10" t="s">
        <v>6</v>
      </c>
      <c r="B20" s="6">
        <v>5000000</v>
      </c>
      <c r="C20" s="7">
        <v>10</v>
      </c>
      <c r="D20" s="6">
        <v>5151600</v>
      </c>
      <c r="E20" s="7">
        <v>9.54</v>
      </c>
      <c r="F20" s="6">
        <v>5304204</v>
      </c>
      <c r="G20" s="7">
        <v>9.18</v>
      </c>
      <c r="H20" s="47">
        <v>5569414.2</v>
      </c>
      <c r="I20" s="48">
        <v>9.18</v>
      </c>
      <c r="J20" s="48">
        <v>5847884.91</v>
      </c>
      <c r="K20" s="48">
        <v>9.18</v>
      </c>
      <c r="L20" s="48">
        <v>6140279.1555</v>
      </c>
      <c r="M20" s="48">
        <v>9.180000000000001</v>
      </c>
      <c r="N20" s="48">
        <v>6447293.113275001</v>
      </c>
      <c r="O20" s="48">
        <v>9.180000000000001</v>
      </c>
      <c r="P20" s="48">
        <v>6769657.768938751</v>
      </c>
      <c r="Q20" s="48">
        <v>9.180000000000001</v>
      </c>
      <c r="R20" s="48">
        <v>7108140.657385688</v>
      </c>
      <c r="S20" s="48">
        <v>9.18</v>
      </c>
      <c r="T20" s="48">
        <v>7463547.690254972</v>
      </c>
      <c r="U20" s="48">
        <v>9.179999999999998</v>
      </c>
      <c r="V20" s="48">
        <v>7836725.074767721</v>
      </c>
      <c r="W20" s="48">
        <v>9.179999999999998</v>
      </c>
      <c r="X20" s="48">
        <v>8228561.3285061065</v>
      </c>
      <c r="Y20" s="48">
        <v>9.179999999999996</v>
      </c>
      <c r="Z20" s="48">
        <v>8639989.394931411</v>
      </c>
      <c r="AA20" s="56">
        <v>9.179999999999996</v>
      </c>
      <c r="AB20" s="61"/>
    </row>
    <row r="21" spans="1:27" ht="12.75">
      <c r="A21" s="10" t="s">
        <v>7</v>
      </c>
      <c r="B21" s="6">
        <v>200000</v>
      </c>
      <c r="C21" s="7">
        <v>0.4</v>
      </c>
      <c r="D21" s="6">
        <v>205200</v>
      </c>
      <c r="E21" s="7">
        <v>0.38</v>
      </c>
      <c r="F21" s="6">
        <v>213786</v>
      </c>
      <c r="G21" s="7">
        <v>0.37</v>
      </c>
      <c r="H21" s="47">
        <v>224475.3</v>
      </c>
      <c r="I21" s="48">
        <v>0.37</v>
      </c>
      <c r="J21" s="48">
        <v>233454.31199999998</v>
      </c>
      <c r="K21" s="48">
        <v>0.36647619047619046</v>
      </c>
      <c r="L21" s="48">
        <v>242792.48447999998</v>
      </c>
      <c r="M21" s="48">
        <v>0.3629859410430839</v>
      </c>
      <c r="N21" s="48">
        <v>252504.18385919998</v>
      </c>
      <c r="O21" s="48">
        <v>0.3595289320807688</v>
      </c>
      <c r="P21" s="48">
        <v>262604.351213568</v>
      </c>
      <c r="Q21" s="48">
        <v>0.3561048470133329</v>
      </c>
      <c r="R21" s="48">
        <v>273108.52526211075</v>
      </c>
      <c r="S21" s="48">
        <v>0.3527133722798726</v>
      </c>
      <c r="T21" s="48">
        <v>284032.8662725952</v>
      </c>
      <c r="U21" s="48">
        <v>0.34935419730577855</v>
      </c>
      <c r="V21" s="48">
        <v>295394.180923499</v>
      </c>
      <c r="W21" s="48">
        <v>0.3460270144742949</v>
      </c>
      <c r="X21" s="48">
        <v>307209.948160439</v>
      </c>
      <c r="Y21" s="48">
        <v>0.34273151909834926</v>
      </c>
      <c r="Z21" s="48">
        <v>319498.34608685656</v>
      </c>
      <c r="AA21" s="56">
        <v>0.3394674093926507</v>
      </c>
    </row>
    <row r="22" spans="1:27" ht="12.75">
      <c r="A22" s="10" t="s">
        <v>8</v>
      </c>
      <c r="B22" s="6">
        <v>500000</v>
      </c>
      <c r="C22" s="7">
        <v>1</v>
      </c>
      <c r="D22" s="6">
        <v>513000</v>
      </c>
      <c r="E22" s="7">
        <v>0.95</v>
      </c>
      <c r="F22" s="6">
        <v>531576</v>
      </c>
      <c r="G22" s="7">
        <v>0.92</v>
      </c>
      <c r="H22" s="47">
        <v>558154.8</v>
      </c>
      <c r="I22" s="48">
        <v>0.92</v>
      </c>
      <c r="J22" s="48">
        <v>586062.54</v>
      </c>
      <c r="K22" s="48">
        <v>0.92</v>
      </c>
      <c r="L22" s="48">
        <v>615365.667</v>
      </c>
      <c r="M22" s="48">
        <v>0.92</v>
      </c>
      <c r="N22" s="48">
        <v>646133.95035</v>
      </c>
      <c r="O22" s="48">
        <v>0.9200000000000002</v>
      </c>
      <c r="P22" s="48">
        <v>678440.6478675001</v>
      </c>
      <c r="Q22" s="48">
        <v>0.92</v>
      </c>
      <c r="R22" s="48">
        <v>712362.680260875</v>
      </c>
      <c r="S22" s="48">
        <v>0.9199999999999999</v>
      </c>
      <c r="T22" s="48">
        <v>747980.8142739187</v>
      </c>
      <c r="U22" s="48">
        <v>0.9199999999999998</v>
      </c>
      <c r="V22" s="48">
        <v>785379.8549876147</v>
      </c>
      <c r="W22" s="48">
        <v>0.9199999999999997</v>
      </c>
      <c r="X22" s="48">
        <v>824648.8477369954</v>
      </c>
      <c r="Y22" s="48">
        <v>0.9199999999999997</v>
      </c>
      <c r="Z22" s="48">
        <v>865881.2901238452</v>
      </c>
      <c r="AA22" s="56">
        <v>0.9199999999999997</v>
      </c>
    </row>
    <row r="23" spans="1:27" ht="12.75">
      <c r="A23" s="10" t="s">
        <v>9</v>
      </c>
      <c r="B23" s="6">
        <v>500000</v>
      </c>
      <c r="C23" s="7">
        <v>1</v>
      </c>
      <c r="D23" s="6">
        <v>502200</v>
      </c>
      <c r="E23" s="7">
        <v>0.93</v>
      </c>
      <c r="F23" s="6">
        <v>502686</v>
      </c>
      <c r="G23" s="7">
        <v>0.87</v>
      </c>
      <c r="H23" s="47">
        <v>507712.86</v>
      </c>
      <c r="I23" s="48">
        <v>0.8368571428571429</v>
      </c>
      <c r="J23" s="48">
        <v>512789.9886</v>
      </c>
      <c r="K23" s="48">
        <v>0.8049768707482993</v>
      </c>
      <c r="L23" s="48">
        <v>517917.888486</v>
      </c>
      <c r="M23" s="48">
        <v>0.7743110851959832</v>
      </c>
      <c r="N23" s="48">
        <v>523097.06737086</v>
      </c>
      <c r="O23" s="48">
        <v>0.74481352004566</v>
      </c>
      <c r="P23" s="48">
        <v>528328.0380445686</v>
      </c>
      <c r="Q23" s="48">
        <v>0.7164396716629682</v>
      </c>
      <c r="R23" s="48">
        <v>533611.3184250143</v>
      </c>
      <c r="S23" s="48">
        <v>0.6891467317900931</v>
      </c>
      <c r="T23" s="48">
        <v>538947.4316092645</v>
      </c>
      <c r="U23" s="48">
        <v>0.6628935229599943</v>
      </c>
      <c r="V23" s="48">
        <v>544336.9059253571</v>
      </c>
      <c r="W23" s="48">
        <v>0.6376404363710422</v>
      </c>
      <c r="X23" s="48">
        <v>549780.2749846107</v>
      </c>
      <c r="Y23" s="48">
        <v>0.6133493721283357</v>
      </c>
      <c r="Z23" s="48">
        <v>555278.0777344569</v>
      </c>
      <c r="AA23" s="56">
        <v>0.589983681761542</v>
      </c>
    </row>
    <row r="24" spans="1:27" ht="12.75">
      <c r="A24" s="10" t="s">
        <v>10</v>
      </c>
      <c r="B24" s="6">
        <v>35000</v>
      </c>
      <c r="C24" s="7">
        <v>0.07</v>
      </c>
      <c r="D24" s="6">
        <v>43200</v>
      </c>
      <c r="E24" s="7">
        <v>0.08</v>
      </c>
      <c r="F24" s="6">
        <v>40446</v>
      </c>
      <c r="G24" s="7">
        <v>0.07</v>
      </c>
      <c r="H24" s="47">
        <v>42063.84</v>
      </c>
      <c r="I24" s="48">
        <v>0.06933333333333333</v>
      </c>
      <c r="J24" s="48">
        <v>43746.393599999996</v>
      </c>
      <c r="K24" s="48">
        <v>0.06867301587301587</v>
      </c>
      <c r="L24" s="48">
        <v>45496.249343999996</v>
      </c>
      <c r="M24" s="48">
        <v>0.06801898715041572</v>
      </c>
      <c r="N24" s="48">
        <v>47316.099317759996</v>
      </c>
      <c r="O24" s="48">
        <v>0.0673711872727927</v>
      </c>
      <c r="P24" s="48">
        <v>49208.7432904704</v>
      </c>
      <c r="Q24" s="48">
        <v>0.06672955691781372</v>
      </c>
      <c r="R24" s="48">
        <v>51177.09302208921</v>
      </c>
      <c r="S24" s="48">
        <v>0.06609403732812026</v>
      </c>
      <c r="T24" s="48">
        <v>53224.17674297278</v>
      </c>
      <c r="U24" s="48">
        <v>0.06546457030594767</v>
      </c>
      <c r="V24" s="48">
        <v>55353.14381269169</v>
      </c>
      <c r="W24" s="48">
        <v>0.0648410982077958</v>
      </c>
      <c r="X24" s="48">
        <v>57567.269565199356</v>
      </c>
      <c r="Y24" s="48">
        <v>0.06422356393915012</v>
      </c>
      <c r="Z24" s="48">
        <v>59869.96034780733</v>
      </c>
      <c r="AA24" s="56">
        <v>0.06361191094925345</v>
      </c>
    </row>
    <row r="25" spans="1:27" ht="12.75">
      <c r="A25" s="10" t="s">
        <v>11</v>
      </c>
      <c r="B25" s="6">
        <v>15000</v>
      </c>
      <c r="C25" s="7">
        <v>0.03</v>
      </c>
      <c r="D25" s="6">
        <v>10800</v>
      </c>
      <c r="E25" s="7">
        <v>0.02</v>
      </c>
      <c r="F25" s="6">
        <v>17334</v>
      </c>
      <c r="G25" s="7">
        <v>0.03</v>
      </c>
      <c r="H25" s="47">
        <v>18027.36</v>
      </c>
      <c r="I25" s="48">
        <v>0.029714285714285714</v>
      </c>
      <c r="J25" s="48">
        <v>18748.454400000002</v>
      </c>
      <c r="K25" s="48">
        <v>0.029431292517006807</v>
      </c>
      <c r="L25" s="48">
        <v>19498.392576000002</v>
      </c>
      <c r="M25" s="48">
        <v>0.029150994493035313</v>
      </c>
      <c r="N25" s="48">
        <v>20278.32827904</v>
      </c>
      <c r="O25" s="48">
        <v>0.028873365974054023</v>
      </c>
      <c r="P25" s="48">
        <v>21089.461410201602</v>
      </c>
      <c r="Q25" s="48">
        <v>0.028598381536205888</v>
      </c>
      <c r="R25" s="48">
        <v>21933.039866609666</v>
      </c>
      <c r="S25" s="48">
        <v>0.02832601599776583</v>
      </c>
      <c r="T25" s="48">
        <v>22810.361461274053</v>
      </c>
      <c r="U25" s="48">
        <v>0.028056244416834724</v>
      </c>
      <c r="V25" s="48">
        <v>23722.775919725016</v>
      </c>
      <c r="W25" s="48">
        <v>0.027789042089055346</v>
      </c>
      <c r="X25" s="48">
        <v>24671.686956514015</v>
      </c>
      <c r="Y25" s="48">
        <v>0.027524384545350052</v>
      </c>
      <c r="Z25" s="48">
        <v>25658.554434774574</v>
      </c>
      <c r="AA25" s="56">
        <v>0.02726224754968005</v>
      </c>
    </row>
    <row r="26" spans="1:27" ht="12.75">
      <c r="A26" s="10"/>
      <c r="B26" s="2"/>
      <c r="C26" s="3"/>
      <c r="D26" s="2"/>
      <c r="E26" s="3"/>
      <c r="F26" s="2"/>
      <c r="G26" s="3"/>
      <c r="H26" s="47"/>
      <c r="I26" s="48"/>
      <c r="J26" s="48"/>
      <c r="K26" s="48"/>
      <c r="L26" s="48"/>
      <c r="M26" s="48"/>
      <c r="N26" s="48"/>
      <c r="O26" s="48"/>
      <c r="P26" s="48"/>
      <c r="Q26" s="48"/>
      <c r="R26" s="48"/>
      <c r="S26" s="48"/>
      <c r="T26" s="48"/>
      <c r="U26" s="48"/>
      <c r="V26" s="48"/>
      <c r="W26" s="48"/>
      <c r="X26" s="48"/>
      <c r="Y26" s="48"/>
      <c r="Z26" s="48"/>
      <c r="AA26" s="56"/>
    </row>
    <row r="27" spans="1:27" ht="13.5" thickBot="1">
      <c r="A27" s="13" t="s">
        <v>12</v>
      </c>
      <c r="B27" s="14">
        <v>16250000</v>
      </c>
      <c r="C27" s="15">
        <v>32.5</v>
      </c>
      <c r="D27" s="14">
        <v>17550000</v>
      </c>
      <c r="E27" s="15">
        <v>32.5</v>
      </c>
      <c r="F27" s="14">
        <v>18870948</v>
      </c>
      <c r="G27" s="15">
        <v>32.66</v>
      </c>
      <c r="H27" s="49">
        <v>19793810.16</v>
      </c>
      <c r="I27" s="50">
        <v>32.62590476190476</v>
      </c>
      <c r="J27" s="50">
        <v>20760346.488599997</v>
      </c>
      <c r="K27" s="50">
        <v>32.58955736961452</v>
      </c>
      <c r="L27" s="50">
        <v>21774892.721886</v>
      </c>
      <c r="M27" s="50">
        <v>32.55446700788253</v>
      </c>
      <c r="N27" s="50">
        <v>22839842.771176863</v>
      </c>
      <c r="O27" s="50">
        <v>32.52058700537328</v>
      </c>
      <c r="P27" s="71">
        <v>23957710.040926307</v>
      </c>
      <c r="Q27" s="71">
        <v>32.48787245713032</v>
      </c>
      <c r="R27" s="71">
        <v>25131133.3958917</v>
      </c>
      <c r="S27" s="71">
        <v>32.456280157395845</v>
      </c>
      <c r="T27" s="71">
        <v>26362883.426367775</v>
      </c>
      <c r="U27" s="71">
        <v>32.42576853498855</v>
      </c>
      <c r="V27" s="71">
        <v>27655869.02637702</v>
      </c>
      <c r="W27" s="71">
        <v>32.39629759114217</v>
      </c>
      <c r="X27" s="71">
        <v>29013144.3004523</v>
      </c>
      <c r="Y27" s="71">
        <v>32.36782883971117</v>
      </c>
      <c r="Z27" s="71">
        <v>30437915.81542871</v>
      </c>
      <c r="AA27" s="72">
        <v>32.34032524965311</v>
      </c>
    </row>
    <row r="28" spans="1:27" ht="14.25" thickBot="1" thickTop="1">
      <c r="A28" s="10"/>
      <c r="B28" s="2"/>
      <c r="C28" s="3"/>
      <c r="D28" s="2"/>
      <c r="E28" s="3"/>
      <c r="F28" s="2"/>
      <c r="G28" s="3"/>
      <c r="H28" s="43"/>
      <c r="I28" s="44"/>
      <c r="J28" s="44"/>
      <c r="K28" s="44"/>
      <c r="L28" s="44"/>
      <c r="M28" s="44"/>
      <c r="N28" s="44"/>
      <c r="O28" s="44"/>
      <c r="P28" s="44"/>
      <c r="Q28" s="44"/>
      <c r="R28" s="44"/>
      <c r="S28" s="44"/>
      <c r="T28" s="44"/>
      <c r="U28" s="44"/>
      <c r="V28" s="44"/>
      <c r="W28" s="44"/>
      <c r="X28" s="44"/>
      <c r="Y28" s="44"/>
      <c r="Z28" s="44"/>
      <c r="AA28" s="57"/>
    </row>
    <row r="29" spans="1:27" ht="12.75">
      <c r="A29" s="18" t="s">
        <v>13</v>
      </c>
      <c r="B29" s="19">
        <v>10250000</v>
      </c>
      <c r="C29" s="36">
        <v>20.5</v>
      </c>
      <c r="D29" s="19">
        <v>12123000</v>
      </c>
      <c r="E29" s="36">
        <v>22.45</v>
      </c>
      <c r="F29" s="19">
        <v>13751640</v>
      </c>
      <c r="G29" s="20">
        <v>23.8</v>
      </c>
      <c r="H29" s="75">
        <v>16176839.940000001</v>
      </c>
      <c r="I29" s="76">
        <v>26.657095238095245</v>
      </c>
      <c r="J29" s="76">
        <v>18894364.933950003</v>
      </c>
      <c r="K29" s="76">
        <v>29.657592630385487</v>
      </c>
      <c r="L29" s="76">
        <v>21942824.66411399</v>
      </c>
      <c r="M29" s="76">
        <v>32.80504049211749</v>
      </c>
      <c r="N29" s="76">
        <v>25353322.09079813</v>
      </c>
      <c r="O29" s="76">
        <v>36.10689586962673</v>
      </c>
      <c r="P29" s="76">
        <v>29181891.13878245</v>
      </c>
      <c r="Q29" s="76">
        <v>39.570984561619696</v>
      </c>
      <c r="R29" s="76">
        <v>33460697.05556527</v>
      </c>
      <c r="S29" s="76">
        <v>43.20551971229168</v>
      </c>
      <c r="T29" s="76">
        <v>38223633.8409367</v>
      </c>
      <c r="U29" s="76">
        <v>47.01912132818336</v>
      </c>
      <c r="V29" s="76">
        <v>43549058.913315326</v>
      </c>
      <c r="W29" s="76">
        <v>51.020836765188335</v>
      </c>
      <c r="X29" s="76">
        <v>49498804.14876885</v>
      </c>
      <c r="Y29" s="76">
        <v>55.22016223443587</v>
      </c>
      <c r="Z29" s="76">
        <v>56112566.18434175</v>
      </c>
      <c r="AA29" s="77">
        <v>59.62706537820129</v>
      </c>
    </row>
    <row r="30" spans="1:27" ht="12.75">
      <c r="A30" s="21" t="s">
        <v>14</v>
      </c>
      <c r="B30" s="35">
        <v>0.3867924528301887</v>
      </c>
      <c r="C30" s="22"/>
      <c r="D30" s="38">
        <v>0.40855323020928114</v>
      </c>
      <c r="E30" s="22"/>
      <c r="F30" s="38">
        <v>0.4215373715905065</v>
      </c>
      <c r="G30" s="22"/>
      <c r="H30" s="73">
        <v>0.4497233131741481</v>
      </c>
      <c r="I30" s="48"/>
      <c r="J30" s="74">
        <v>0.4764721329734745</v>
      </c>
      <c r="K30" s="48"/>
      <c r="L30" s="74">
        <v>0.501920639414282</v>
      </c>
      <c r="M30" s="48"/>
      <c r="N30" s="74">
        <v>0.5260771348677749</v>
      </c>
      <c r="O30" s="48"/>
      <c r="P30" s="74">
        <v>0.5491552531622216</v>
      </c>
      <c r="Q30" s="48"/>
      <c r="R30" s="74">
        <v>0.5710812718726596</v>
      </c>
      <c r="S30" s="48"/>
      <c r="T30" s="74">
        <v>0.5918206377770827</v>
      </c>
      <c r="U30" s="48"/>
      <c r="V30" s="74">
        <v>0.6116017552914258</v>
      </c>
      <c r="W30" s="48"/>
      <c r="X30" s="74">
        <v>0.6304620522923716</v>
      </c>
      <c r="Y30" s="48"/>
      <c r="Z30" s="74">
        <v>0.6483218219915929</v>
      </c>
      <c r="AA30" s="56"/>
    </row>
    <row r="31" spans="1:27" ht="12.75">
      <c r="A31" s="21"/>
      <c r="B31" s="23"/>
      <c r="C31" s="22"/>
      <c r="D31" s="23"/>
      <c r="E31" s="22"/>
      <c r="F31" s="23"/>
      <c r="G31" s="22"/>
      <c r="H31" s="47"/>
      <c r="I31" s="48"/>
      <c r="J31" s="48"/>
      <c r="K31" s="48"/>
      <c r="L31" s="48"/>
      <c r="M31" s="48"/>
      <c r="N31" s="48"/>
      <c r="O31" s="48"/>
      <c r="P31" s="48"/>
      <c r="Q31" s="48"/>
      <c r="R31" s="48"/>
      <c r="S31" s="48"/>
      <c r="T31" s="48"/>
      <c r="U31" s="48"/>
      <c r="V31" s="48"/>
      <c r="W31" s="48"/>
      <c r="X31" s="48"/>
      <c r="Y31" s="48"/>
      <c r="Z31" s="48"/>
      <c r="AA31" s="56"/>
    </row>
    <row r="32" spans="1:27" ht="12.75">
      <c r="A32" s="21" t="s">
        <v>15</v>
      </c>
      <c r="B32" s="24">
        <v>10750000</v>
      </c>
      <c r="C32" s="37">
        <v>21.5</v>
      </c>
      <c r="D32" s="29">
        <v>12625200</v>
      </c>
      <c r="E32" s="37">
        <v>23.38</v>
      </c>
      <c r="F32" s="29">
        <v>14254326</v>
      </c>
      <c r="G32" s="25">
        <v>24.67</v>
      </c>
      <c r="H32" s="75">
        <v>16684552.8</v>
      </c>
      <c r="I32" s="76">
        <v>27.50095238095238</v>
      </c>
      <c r="J32" s="76">
        <v>19407154.92255</v>
      </c>
      <c r="K32" s="76">
        <v>30.465319501133788</v>
      </c>
      <c r="L32" s="76">
        <v>22460742.552599993</v>
      </c>
      <c r="M32" s="76">
        <v>33.57984407731345</v>
      </c>
      <c r="N32" s="76">
        <v>25876419.15816899</v>
      </c>
      <c r="O32" s="76">
        <v>36.84422651467237</v>
      </c>
      <c r="P32" s="76">
        <v>29710219.176827017</v>
      </c>
      <c r="Q32" s="76">
        <v>40.288567214532655</v>
      </c>
      <c r="R32" s="76">
        <v>33994308.37399029</v>
      </c>
      <c r="S32" s="76">
        <v>43.902866574394245</v>
      </c>
      <c r="T32" s="76">
        <v>38762581.27254596</v>
      </c>
      <c r="U32" s="76">
        <v>47.677124987971446</v>
      </c>
      <c r="V32" s="76">
        <v>44093395.81924068</v>
      </c>
      <c r="W32" s="76">
        <v>51.65134284522887</v>
      </c>
      <c r="X32" s="76">
        <v>50048584.42375346</v>
      </c>
      <c r="Y32" s="76">
        <v>55.83552053241717</v>
      </c>
      <c r="Z32" s="76">
        <v>56667844.26207621</v>
      </c>
      <c r="AA32" s="77">
        <v>60.20965843210842</v>
      </c>
    </row>
    <row r="33" spans="1:27" ht="13.5" thickBot="1">
      <c r="A33" s="26" t="s">
        <v>14</v>
      </c>
      <c r="B33" s="27">
        <v>0.4056603773584906</v>
      </c>
      <c r="C33" s="28"/>
      <c r="D33" s="30">
        <v>0.42547770700636944</v>
      </c>
      <c r="E33" s="28"/>
      <c r="F33" s="30">
        <v>0.4369465108041091</v>
      </c>
      <c r="G33" s="28"/>
      <c r="H33" s="68">
        <v>0.4638379554891614</v>
      </c>
      <c r="I33" s="44"/>
      <c r="J33" s="69">
        <v>0.4894035091001558</v>
      </c>
      <c r="K33" s="44"/>
      <c r="L33" s="69">
        <v>0.513767504242862</v>
      </c>
      <c r="M33" s="44"/>
      <c r="N33" s="69">
        <v>0.5369313103274902</v>
      </c>
      <c r="O33" s="44"/>
      <c r="P33" s="69">
        <v>0.5590975189360623</v>
      </c>
      <c r="Q33" s="44"/>
      <c r="R33" s="69">
        <v>0.5801885367304644</v>
      </c>
      <c r="S33" s="44"/>
      <c r="T33" s="69">
        <v>0.6001652188818157</v>
      </c>
      <c r="U33" s="44"/>
      <c r="V33" s="69">
        <v>0.6192464074478943</v>
      </c>
      <c r="W33" s="44"/>
      <c r="X33" s="69">
        <v>0.6374645568263178</v>
      </c>
      <c r="Y33" s="44"/>
      <c r="Z33" s="69">
        <v>0.6547374775131407</v>
      </c>
      <c r="AA33" s="57"/>
    </row>
    <row r="34" ht="12.75"/>
    <row r="35" spans="1:7" s="110" customFormat="1" ht="12.75">
      <c r="A35" s="108" t="s">
        <v>60</v>
      </c>
      <c r="B35" s="109"/>
      <c r="C35" s="109"/>
      <c r="D35" s="109"/>
      <c r="E35" s="109"/>
      <c r="F35" s="109"/>
      <c r="G35" s="109"/>
    </row>
    <row r="36" s="110" customFormat="1" ht="13.5" thickBot="1"/>
    <row r="37" spans="1:11" s="110" customFormat="1" ht="12.75">
      <c r="A37" s="111"/>
      <c r="B37" s="112"/>
      <c r="C37" s="113"/>
      <c r="D37" s="114"/>
      <c r="E37" s="114"/>
      <c r="F37" s="114"/>
      <c r="G37" s="113"/>
      <c r="H37" s="113"/>
      <c r="I37" s="113"/>
      <c r="J37" s="113"/>
      <c r="K37" s="113"/>
    </row>
    <row r="38" spans="1:11" s="110" customFormat="1" ht="12.75">
      <c r="A38" s="115"/>
      <c r="B38" s="116"/>
      <c r="C38" s="117"/>
      <c r="D38" s="117"/>
      <c r="E38" s="117"/>
      <c r="F38" s="117"/>
      <c r="G38" s="117"/>
      <c r="H38" s="117"/>
      <c r="I38" s="117"/>
      <c r="J38" s="117"/>
      <c r="K38" s="117"/>
    </row>
    <row r="39" spans="1:17" s="110" customFormat="1" ht="12.75">
      <c r="A39" s="118"/>
      <c r="B39" s="119" t="s">
        <v>27</v>
      </c>
      <c r="C39" s="120" t="s">
        <v>28</v>
      </c>
      <c r="D39" s="120" t="s">
        <v>29</v>
      </c>
      <c r="E39" s="120" t="s">
        <v>30</v>
      </c>
      <c r="F39" s="120" t="s">
        <v>31</v>
      </c>
      <c r="G39" s="120" t="s">
        <v>32</v>
      </c>
      <c r="H39" s="120" t="s">
        <v>33</v>
      </c>
      <c r="I39" s="120" t="s">
        <v>34</v>
      </c>
      <c r="J39" s="120" t="s">
        <v>35</v>
      </c>
      <c r="K39" s="120" t="s">
        <v>36</v>
      </c>
      <c r="L39" s="121" t="s">
        <v>37</v>
      </c>
      <c r="M39" s="121"/>
      <c r="N39" s="121"/>
      <c r="O39" s="121"/>
      <c r="P39" s="121"/>
      <c r="Q39" s="121"/>
    </row>
    <row r="40" spans="1:17" s="110" customFormat="1" ht="12.75">
      <c r="A40" s="122"/>
      <c r="B40" s="123"/>
      <c r="C40" s="124"/>
      <c r="D40" s="124"/>
      <c r="E40" s="124"/>
      <c r="F40" s="124"/>
      <c r="G40" s="124"/>
      <c r="H40" s="124"/>
      <c r="I40" s="124"/>
      <c r="J40" s="124"/>
      <c r="K40" s="124"/>
      <c r="L40" s="121"/>
      <c r="M40" s="121"/>
      <c r="N40" s="121"/>
      <c r="O40" s="121"/>
      <c r="P40" s="121"/>
      <c r="Q40" s="121"/>
    </row>
    <row r="41" spans="1:17" s="110" customFormat="1" ht="12.75">
      <c r="A41" s="125"/>
      <c r="B41" s="123"/>
      <c r="C41" s="124"/>
      <c r="D41" s="124"/>
      <c r="E41" s="124"/>
      <c r="F41" s="124"/>
      <c r="G41" s="124"/>
      <c r="H41" s="124"/>
      <c r="I41" s="124"/>
      <c r="J41" s="124"/>
      <c r="K41" s="124"/>
      <c r="L41" s="121"/>
      <c r="M41" s="121"/>
      <c r="N41" s="121"/>
      <c r="O41" s="121"/>
      <c r="P41" s="121"/>
      <c r="Q41" s="121"/>
    </row>
    <row r="42" spans="1:17" s="110" customFormat="1" ht="27.75" customHeight="1">
      <c r="A42" s="126" t="s">
        <v>67</v>
      </c>
      <c r="B42" s="127">
        <f>16176839.94*0.4</f>
        <v>6470735.976</v>
      </c>
      <c r="C42" s="128">
        <f>18894364.93395*0.4</f>
        <v>7557745.97358</v>
      </c>
      <c r="D42" s="128">
        <f>21942824.664114*0.4</f>
        <v>8777129.8656456</v>
      </c>
      <c r="E42" s="128">
        <f>25353322.0907981*0.4</f>
        <v>10141328.83631924</v>
      </c>
      <c r="F42" s="128">
        <f>29181891.1387824*0.4</f>
        <v>11672756.455512961</v>
      </c>
      <c r="G42" s="128">
        <f>R29*0.4</f>
        <v>13384278.822226109</v>
      </c>
      <c r="H42" s="128">
        <f>38223633.8409367*0.4</f>
        <v>15289453.53637468</v>
      </c>
      <c r="I42" s="128">
        <f>43549058.9133153*0.4</f>
        <v>17419623.56532612</v>
      </c>
      <c r="J42" s="128">
        <f>49498804.1487688*0.4</f>
        <v>19799521.65950752</v>
      </c>
      <c r="K42" s="128">
        <f>56112566.1843418*0.4</f>
        <v>22445026.473736722</v>
      </c>
      <c r="L42" s="121"/>
      <c r="M42" s="121"/>
      <c r="N42" s="121"/>
      <c r="O42" s="121"/>
      <c r="P42" s="121"/>
      <c r="Q42" s="121"/>
    </row>
    <row r="43" spans="1:17" s="110" customFormat="1" ht="26.25" customHeight="1" thickBot="1">
      <c r="A43" s="126" t="s">
        <v>69</v>
      </c>
      <c r="B43" s="129">
        <f>H29-B42</f>
        <v>9706103.964000002</v>
      </c>
      <c r="C43" s="130">
        <f>J29-C42</f>
        <v>11336618.960370004</v>
      </c>
      <c r="D43" s="130">
        <f>L29-D42</f>
        <v>13165694.79846839</v>
      </c>
      <c r="E43" s="130">
        <f>N29-E42</f>
        <v>15211993.254478889</v>
      </c>
      <c r="F43" s="130">
        <f>P29-F42</f>
        <v>17509134.683269486</v>
      </c>
      <c r="G43" s="130">
        <f>R29-G42</f>
        <v>20076418.23333916</v>
      </c>
      <c r="H43" s="130">
        <f>T29-H42</f>
        <v>22934180.304562017</v>
      </c>
      <c r="I43" s="130">
        <f>V29-I42</f>
        <v>26129435.347989205</v>
      </c>
      <c r="J43" s="130">
        <f>X29-J42</f>
        <v>29699282.48926133</v>
      </c>
      <c r="K43" s="130">
        <f>Z29-K42</f>
        <v>33667539.710605025</v>
      </c>
      <c r="L43" s="121"/>
      <c r="M43" s="121"/>
      <c r="N43" s="121"/>
      <c r="O43" s="121"/>
      <c r="P43" s="121"/>
      <c r="Q43" s="121"/>
    </row>
    <row r="44" spans="1:17" s="110" customFormat="1" ht="26.25" customHeight="1" thickTop="1">
      <c r="A44" s="131" t="s">
        <v>66</v>
      </c>
      <c r="B44" s="127">
        <f>B43+H23</f>
        <v>10213816.824000001</v>
      </c>
      <c r="C44" s="128">
        <f>C43+J23</f>
        <v>11849408.948970005</v>
      </c>
      <c r="D44" s="128">
        <f>D43+L23</f>
        <v>13683612.68695439</v>
      </c>
      <c r="E44" s="128">
        <f>E43+N23</f>
        <v>15735090.321849748</v>
      </c>
      <c r="F44" s="128">
        <f>F43+P23</f>
        <v>18037462.721314054</v>
      </c>
      <c r="G44" s="128">
        <f>G43+R23</f>
        <v>20610029.551764175</v>
      </c>
      <c r="H44" s="128">
        <f>H43+T23</f>
        <v>23473127.736171283</v>
      </c>
      <c r="I44" s="128">
        <f>I43+V23</f>
        <v>26673772.25391456</v>
      </c>
      <c r="J44" s="128">
        <f>J43+X23</f>
        <v>30249062.76424594</v>
      </c>
      <c r="K44" s="128">
        <f>K43-Z23</f>
        <v>33112261.63287057</v>
      </c>
      <c r="L44" s="121"/>
      <c r="M44" s="121"/>
      <c r="N44" s="121"/>
      <c r="O44" s="121"/>
      <c r="P44" s="121"/>
      <c r="Q44" s="121"/>
    </row>
    <row r="45" spans="1:17" s="110" customFormat="1" ht="25.5">
      <c r="A45" s="125" t="s">
        <v>61</v>
      </c>
      <c r="B45" s="123">
        <f>B44+H23</f>
        <v>10721529.684</v>
      </c>
      <c r="C45" s="124">
        <f>C44+J23</f>
        <v>12362198.937570006</v>
      </c>
      <c r="D45" s="124">
        <f>D44+L23</f>
        <v>14201530.57544039</v>
      </c>
      <c r="E45" s="124">
        <f>E44+N23</f>
        <v>16258187.389220608</v>
      </c>
      <c r="F45" s="124">
        <f>F44+P23</f>
        <v>18565790.759358622</v>
      </c>
      <c r="G45" s="124">
        <f>G44+R23</f>
        <v>21143640.87018919</v>
      </c>
      <c r="H45" s="124">
        <f>H44+T23</f>
        <v>24012075.16778055</v>
      </c>
      <c r="I45" s="124">
        <f>I44+V23</f>
        <v>27218109.159839917</v>
      </c>
      <c r="J45" s="124">
        <f>J44+X23</f>
        <v>30798843.039230548</v>
      </c>
      <c r="K45" s="124">
        <f>K44+Z23</f>
        <v>33667539.710605025</v>
      </c>
      <c r="L45" s="121"/>
      <c r="M45" s="121"/>
      <c r="N45" s="121"/>
      <c r="O45" s="121"/>
      <c r="P45" s="121"/>
      <c r="Q45" s="121"/>
    </row>
    <row r="46" spans="1:17" s="110" customFormat="1" ht="12.75">
      <c r="A46" s="122" t="s">
        <v>62</v>
      </c>
      <c r="B46" s="123"/>
      <c r="C46" s="124"/>
      <c r="D46" s="124"/>
      <c r="E46" s="124"/>
      <c r="F46" s="124"/>
      <c r="G46" s="124"/>
      <c r="H46" s="124"/>
      <c r="I46" s="124"/>
      <c r="J46" s="124"/>
      <c r="K46" s="124"/>
      <c r="L46" s="121"/>
      <c r="M46" s="121"/>
      <c r="N46" s="121"/>
      <c r="O46" s="121"/>
      <c r="P46" s="121"/>
      <c r="Q46" s="121"/>
    </row>
    <row r="47" spans="1:17" s="110" customFormat="1" ht="21.75" customHeight="1">
      <c r="A47" s="125" t="s">
        <v>41</v>
      </c>
      <c r="B47" s="123">
        <v>-50000</v>
      </c>
      <c r="C47" s="124">
        <v>-50000</v>
      </c>
      <c r="D47" s="124">
        <v>-50000</v>
      </c>
      <c r="E47" s="124">
        <v>-50000</v>
      </c>
      <c r="F47" s="124">
        <v>-50000</v>
      </c>
      <c r="G47" s="124">
        <v>-50000</v>
      </c>
      <c r="H47" s="124">
        <v>-50000</v>
      </c>
      <c r="I47" s="124">
        <v>-50000</v>
      </c>
      <c r="J47" s="124">
        <v>-50000</v>
      </c>
      <c r="K47" s="124">
        <v>-50000</v>
      </c>
      <c r="L47" s="121"/>
      <c r="M47" s="121"/>
      <c r="N47" s="121"/>
      <c r="O47" s="121"/>
      <c r="P47" s="121"/>
      <c r="Q47" s="121"/>
    </row>
    <row r="48" spans="1:17" s="110" customFormat="1" ht="22.5" customHeight="1">
      <c r="A48" s="126" t="s">
        <v>42</v>
      </c>
      <c r="B48" s="127">
        <v>-10000</v>
      </c>
      <c r="C48" s="128">
        <v>-10000</v>
      </c>
      <c r="D48" s="128">
        <v>-10000</v>
      </c>
      <c r="E48" s="128">
        <v>-10000</v>
      </c>
      <c r="F48" s="128">
        <v>-10000</v>
      </c>
      <c r="G48" s="128">
        <v>-10000</v>
      </c>
      <c r="H48" s="128">
        <v>-10000</v>
      </c>
      <c r="I48" s="128">
        <v>-10000</v>
      </c>
      <c r="J48" s="128">
        <v>-10000</v>
      </c>
      <c r="K48" s="128">
        <v>-10000</v>
      </c>
      <c r="L48" s="121"/>
      <c r="M48" s="121"/>
      <c r="N48" s="121"/>
      <c r="O48" s="121"/>
      <c r="P48" s="121"/>
      <c r="Q48" s="121"/>
    </row>
    <row r="49" spans="1:17" s="110" customFormat="1" ht="25.5">
      <c r="A49" s="131" t="s">
        <v>43</v>
      </c>
      <c r="B49" s="132">
        <f>B56+B58-B57</f>
        <v>6917231.407500001</v>
      </c>
      <c r="C49" s="133">
        <f>C56+C58-C57</f>
        <v>7657840.99648125</v>
      </c>
      <c r="D49" s="133">
        <f>D56+D58-D57</f>
        <v>8446472.560212344</v>
      </c>
      <c r="E49" s="133">
        <f>E56+E58-E57</f>
        <v>9378857.45104047</v>
      </c>
      <c r="F49" s="133">
        <f>F56+F58-F57</f>
        <v>10378306.161542235</v>
      </c>
      <c r="G49" s="133">
        <f>G56+G58-G57</f>
        <v>11481603.567868337</v>
      </c>
      <c r="H49" s="133">
        <f>H56+H58-H57</f>
        <v>12696312.485637182</v>
      </c>
      <c r="I49" s="133">
        <f>I56+I58-I57</f>
        <v>14039283.992741188</v>
      </c>
      <c r="J49" s="133">
        <f>J56+J58-J57</f>
        <v>15523952.647261918</v>
      </c>
      <c r="K49" s="133">
        <f>K56+K58-K57</f>
        <v>17159169.11464725</v>
      </c>
      <c r="L49" s="121"/>
      <c r="M49" s="121"/>
      <c r="N49" s="121"/>
      <c r="O49" s="121"/>
      <c r="P49" s="121"/>
      <c r="Q49" s="121"/>
    </row>
    <row r="50" spans="1:17" s="116" customFormat="1" ht="25.5">
      <c r="A50" s="134" t="s">
        <v>64</v>
      </c>
      <c r="B50" s="132">
        <f>B47+B48+B49</f>
        <v>6857231.407500001</v>
      </c>
      <c r="C50" s="133">
        <f>C47+C48+C49</f>
        <v>7597840.99648125</v>
      </c>
      <c r="D50" s="133">
        <f aca="true" t="shared" si="0" ref="D50:K50">D47+D48+D49</f>
        <v>8386472.560212344</v>
      </c>
      <c r="E50" s="133">
        <f t="shared" si="0"/>
        <v>9318857.45104047</v>
      </c>
      <c r="F50" s="133">
        <f t="shared" si="0"/>
        <v>10318306.161542235</v>
      </c>
      <c r="G50" s="133">
        <f t="shared" si="0"/>
        <v>11421603.567868337</v>
      </c>
      <c r="H50" s="133">
        <f t="shared" si="0"/>
        <v>12636312.485637182</v>
      </c>
      <c r="I50" s="133">
        <f t="shared" si="0"/>
        <v>13979283.992741188</v>
      </c>
      <c r="J50" s="133">
        <f t="shared" si="0"/>
        <v>15463952.647261918</v>
      </c>
      <c r="K50" s="133">
        <f t="shared" si="0"/>
        <v>17099169.11464725</v>
      </c>
      <c r="L50" s="123"/>
      <c r="M50" s="123"/>
      <c r="N50" s="123"/>
      <c r="O50" s="123"/>
      <c r="P50" s="123"/>
      <c r="Q50" s="123"/>
    </row>
    <row r="51" spans="1:17" s="110" customFormat="1" ht="26.25" thickBot="1">
      <c r="A51" s="135" t="s">
        <v>59</v>
      </c>
      <c r="B51" s="136">
        <f>B45-B50</f>
        <v>3864298.2764999997</v>
      </c>
      <c r="C51" s="137">
        <f aca="true" t="shared" si="1" ref="C51:K51">C45-C50</f>
        <v>4764357.941088756</v>
      </c>
      <c r="D51" s="137">
        <f t="shared" si="1"/>
        <v>5815058.015228046</v>
      </c>
      <c r="E51" s="137">
        <f t="shared" si="1"/>
        <v>6939329.938180139</v>
      </c>
      <c r="F51" s="137">
        <f t="shared" si="1"/>
        <v>8247484.597816387</v>
      </c>
      <c r="G51" s="137">
        <f t="shared" si="1"/>
        <v>9722037.302320853</v>
      </c>
      <c r="H51" s="137">
        <f t="shared" si="1"/>
        <v>11375762.682143366</v>
      </c>
      <c r="I51" s="137">
        <f t="shared" si="1"/>
        <v>13238825.167098729</v>
      </c>
      <c r="J51" s="137">
        <f t="shared" si="1"/>
        <v>15334890.39196863</v>
      </c>
      <c r="K51" s="137">
        <f t="shared" si="1"/>
        <v>16568370.595957775</v>
      </c>
      <c r="L51" s="121"/>
      <c r="M51" s="121"/>
      <c r="N51" s="121"/>
      <c r="O51" s="121"/>
      <c r="P51" s="121"/>
      <c r="Q51" s="121"/>
    </row>
    <row r="52" spans="1:17" s="110" customFormat="1" ht="13.5" thickTop="1">
      <c r="A52" s="122" t="s">
        <v>65</v>
      </c>
      <c r="B52" s="123">
        <f>3864298.28/1.15</f>
        <v>3360259.3739130436</v>
      </c>
      <c r="C52" s="123">
        <f>4764357.94/1.32</f>
        <v>3609362.0757575757</v>
      </c>
      <c r="D52" s="123">
        <f>D51/1.52</f>
        <v>3825696.0626500305</v>
      </c>
      <c r="E52" s="123">
        <f>E51/1.75</f>
        <v>3965331.393245794</v>
      </c>
      <c r="F52" s="123">
        <f>F51/2.01</f>
        <v>4103226.168067855</v>
      </c>
      <c r="G52" s="138">
        <f>G51/2.31</f>
        <v>4208674.156848854</v>
      </c>
      <c r="H52" s="123">
        <f>H51/2.66</f>
        <v>4276602.512083972</v>
      </c>
      <c r="I52" s="123">
        <f>I51/3.06</f>
        <v>4326413.453300239</v>
      </c>
      <c r="J52" s="123">
        <f>J51/3.52</f>
        <v>4356502.952263815</v>
      </c>
      <c r="K52" s="139">
        <f>K51/4.05</f>
        <v>4090955.7027056236</v>
      </c>
      <c r="L52" s="121"/>
      <c r="M52" s="121"/>
      <c r="N52" s="121"/>
      <c r="O52" s="121"/>
      <c r="P52" s="121"/>
      <c r="Q52" s="121"/>
    </row>
    <row r="53" spans="1:17" s="110" customFormat="1" ht="12.75">
      <c r="A53" s="122"/>
      <c r="B53" s="123"/>
      <c r="C53" s="123"/>
      <c r="D53" s="123"/>
      <c r="E53" s="123"/>
      <c r="F53" s="123"/>
      <c r="G53" s="138"/>
      <c r="H53" s="123"/>
      <c r="I53" s="123"/>
      <c r="J53" s="123"/>
      <c r="K53" s="139"/>
      <c r="L53" s="121"/>
      <c r="M53" s="121"/>
      <c r="N53" s="121"/>
      <c r="O53" s="121"/>
      <c r="P53" s="121"/>
      <c r="Q53" s="121"/>
    </row>
    <row r="54" spans="1:17" s="110" customFormat="1" ht="12.75">
      <c r="A54" s="122"/>
      <c r="B54" s="123"/>
      <c r="C54" s="123"/>
      <c r="D54" s="123"/>
      <c r="E54" s="123"/>
      <c r="F54" s="123"/>
      <c r="G54" s="138"/>
      <c r="H54" s="123"/>
      <c r="I54" s="123"/>
      <c r="J54" s="123"/>
      <c r="K54" s="139"/>
      <c r="L54" s="121"/>
      <c r="M54" s="121"/>
      <c r="N54" s="121"/>
      <c r="O54" s="121"/>
      <c r="P54" s="121"/>
      <c r="Q54" s="121"/>
    </row>
    <row r="55" spans="1:17" s="110" customFormat="1" ht="12.75">
      <c r="A55" s="122" t="s">
        <v>68</v>
      </c>
      <c r="B55" s="123"/>
      <c r="C55" s="123"/>
      <c r="D55" s="123"/>
      <c r="E55" s="123"/>
      <c r="F55" s="123"/>
      <c r="G55" s="138"/>
      <c r="H55" s="123"/>
      <c r="I55" s="123"/>
      <c r="J55" s="123"/>
      <c r="K55" s="139"/>
      <c r="L55" s="121"/>
      <c r="M55" s="121"/>
      <c r="N55" s="121"/>
      <c r="O55" s="121"/>
      <c r="P55" s="121"/>
      <c r="Q55" s="121"/>
    </row>
    <row r="56" spans="1:17" s="110" customFormat="1" ht="12.75">
      <c r="A56" s="125" t="s">
        <v>63</v>
      </c>
      <c r="B56" s="123">
        <f>H16/360*75</f>
        <v>7493885.4375</v>
      </c>
      <c r="C56" s="123">
        <f>J16/360*75</f>
        <v>8261398.213031249</v>
      </c>
      <c r="D56" s="123">
        <f>L16/360*75</f>
        <v>9107857.788749998</v>
      </c>
      <c r="E56" s="123">
        <f>N16/360*75</f>
        <v>10040242.679578124</v>
      </c>
      <c r="F56" s="123">
        <f>P16/360*75</f>
        <v>11070750.245772658</v>
      </c>
      <c r="G56" s="140">
        <f>R16/360*75</f>
        <v>12206631.344053535</v>
      </c>
      <c r="H56" s="119">
        <f>T16/360*75</f>
        <v>13455524.430688433</v>
      </c>
      <c r="I56" s="123">
        <f>V16/360*75</f>
        <v>14834359.987435905</v>
      </c>
      <c r="J56" s="123">
        <f>X16/360*75</f>
        <v>16356655.926921071</v>
      </c>
      <c r="K56" s="139">
        <f>Z16/360*75</f>
        <v>18031350.416618846</v>
      </c>
      <c r="L56" s="121"/>
      <c r="M56" s="121"/>
      <c r="N56" s="121"/>
      <c r="O56" s="121"/>
      <c r="P56" s="121"/>
      <c r="Q56" s="121"/>
    </row>
    <row r="57" spans="1:17" s="110" customFormat="1" ht="25.5">
      <c r="A57" s="125" t="s">
        <v>56</v>
      </c>
      <c r="B57" s="123">
        <f>H27*30/360</f>
        <v>1649484.18</v>
      </c>
      <c r="C57" s="123">
        <f>J27*30/360</f>
        <v>1730028.8740499998</v>
      </c>
      <c r="D57" s="123">
        <f>N27*30/360</f>
        <v>1903320.2309314052</v>
      </c>
      <c r="E57" s="123">
        <f>N27*30/360</f>
        <v>1903320.2309314052</v>
      </c>
      <c r="F57" s="123">
        <f>P27*30/360</f>
        <v>1996475.8367438589</v>
      </c>
      <c r="G57" s="119">
        <f>R27*30/360</f>
        <v>2094261.116324308</v>
      </c>
      <c r="H57" s="119">
        <f>T27*30/360</f>
        <v>2196906.9521973147</v>
      </c>
      <c r="I57" s="123">
        <f>V27*30/360</f>
        <v>2304655.7521980847</v>
      </c>
      <c r="J57" s="123">
        <f>X27*30/360</f>
        <v>2417762.0250376915</v>
      </c>
      <c r="K57" s="139">
        <f>Z27*30/360</f>
        <v>2536492.984619059</v>
      </c>
      <c r="L57" s="121"/>
      <c r="M57" s="121"/>
      <c r="N57" s="121"/>
      <c r="O57" s="121"/>
      <c r="P57" s="121"/>
      <c r="Q57" s="121"/>
    </row>
    <row r="58" spans="1:17" s="110" customFormat="1" ht="12.75">
      <c r="A58" s="125" t="s">
        <v>57</v>
      </c>
      <c r="B58" s="123">
        <f>12873961.8/12</f>
        <v>1072830.1500000001</v>
      </c>
      <c r="C58" s="123">
        <f>J19/12</f>
        <v>1126471.6575</v>
      </c>
      <c r="D58" s="123">
        <f>N19/12</f>
        <v>1241935.00239375</v>
      </c>
      <c r="E58" s="123">
        <f>N19/12</f>
        <v>1241935.00239375</v>
      </c>
      <c r="F58" s="123">
        <f>P19/12</f>
        <v>1304031.7525134375</v>
      </c>
      <c r="G58" s="119">
        <f>R19/12</f>
        <v>1369233.3401391094</v>
      </c>
      <c r="H58" s="119">
        <f>T19/12</f>
        <v>1437695.007146065</v>
      </c>
      <c r="I58" s="123">
        <f>V19/12</f>
        <v>1509579.757503368</v>
      </c>
      <c r="J58" s="123">
        <f>X19/12</f>
        <v>1585058.7453785364</v>
      </c>
      <c r="K58" s="139">
        <f>Z19/12</f>
        <v>1664311.6826474632</v>
      </c>
      <c r="L58" s="121"/>
      <c r="M58" s="121"/>
      <c r="N58" s="121"/>
      <c r="O58" s="121"/>
      <c r="P58" s="121"/>
      <c r="Q58" s="121"/>
    </row>
    <row r="59" spans="1:17" s="110" customFormat="1" ht="12.75">
      <c r="A59" s="125"/>
      <c r="B59" s="123"/>
      <c r="C59" s="123"/>
      <c r="D59" s="123"/>
      <c r="E59" s="123"/>
      <c r="F59" s="123"/>
      <c r="G59" s="123"/>
      <c r="H59" s="123"/>
      <c r="I59" s="123"/>
      <c r="J59" s="123"/>
      <c r="K59" s="139"/>
      <c r="L59" s="121"/>
      <c r="M59" s="121"/>
      <c r="N59" s="121"/>
      <c r="O59" s="121"/>
      <c r="P59" s="121"/>
      <c r="Q59" s="121"/>
    </row>
    <row r="60" spans="1:17" s="110" customFormat="1" ht="12.75">
      <c r="A60" s="125"/>
      <c r="B60" s="123"/>
      <c r="C60" s="123"/>
      <c r="D60" s="123"/>
      <c r="E60" s="123"/>
      <c r="F60" s="123"/>
      <c r="G60" s="123"/>
      <c r="H60" s="123"/>
      <c r="I60" s="123"/>
      <c r="J60" s="123"/>
      <c r="K60" s="139"/>
      <c r="L60" s="121"/>
      <c r="M60" s="121"/>
      <c r="N60" s="121"/>
      <c r="O60" s="121"/>
      <c r="P60" s="121"/>
      <c r="Q60" s="121"/>
    </row>
    <row r="61" spans="1:17" s="110" customFormat="1" ht="13.5" thickBot="1">
      <c r="A61" s="141"/>
      <c r="B61" s="142"/>
      <c r="C61" s="142"/>
      <c r="D61" s="142"/>
      <c r="E61" s="142"/>
      <c r="F61" s="142"/>
      <c r="G61" s="142"/>
      <c r="H61" s="142"/>
      <c r="I61" s="142"/>
      <c r="J61" s="142"/>
      <c r="K61" s="143"/>
      <c r="L61" s="121"/>
      <c r="M61" s="121"/>
      <c r="N61" s="121"/>
      <c r="O61" s="121"/>
      <c r="P61" s="121"/>
      <c r="Q61" s="121"/>
    </row>
    <row r="62" spans="1:17" s="110" customFormat="1" ht="12.75">
      <c r="A62" s="144" t="s">
        <v>53</v>
      </c>
      <c r="B62" s="121"/>
      <c r="C62" s="121"/>
      <c r="D62" s="121"/>
      <c r="E62" s="121"/>
      <c r="F62" s="121"/>
      <c r="G62" s="121"/>
      <c r="H62" s="121"/>
      <c r="I62" s="121"/>
      <c r="J62" s="121"/>
      <c r="K62" s="121"/>
      <c r="L62" s="121"/>
      <c r="M62" s="121"/>
      <c r="N62" s="121"/>
      <c r="O62" s="121"/>
      <c r="P62" s="121"/>
      <c r="Q62" s="121"/>
    </row>
    <row r="63" spans="1:17" s="110" customFormat="1" ht="12.75">
      <c r="A63" s="121"/>
      <c r="B63" s="121"/>
      <c r="C63" s="121"/>
      <c r="D63" s="121"/>
      <c r="E63" s="121"/>
      <c r="F63" s="121"/>
      <c r="G63" s="121"/>
      <c r="H63" s="121"/>
      <c r="I63" s="121"/>
      <c r="J63" s="121"/>
      <c r="K63" s="121"/>
      <c r="L63" s="121"/>
      <c r="M63" s="121"/>
      <c r="N63" s="121"/>
      <c r="O63" s="121"/>
      <c r="P63" s="121"/>
      <c r="Q63" s="121"/>
    </row>
    <row r="64" spans="1:17" s="110" customFormat="1" ht="12.75">
      <c r="A64" s="121" t="s">
        <v>54</v>
      </c>
      <c r="B64" s="121"/>
      <c r="C64" s="121"/>
      <c r="D64" s="121"/>
      <c r="E64" s="121"/>
      <c r="F64" s="121"/>
      <c r="G64" s="121"/>
      <c r="H64" s="121"/>
      <c r="I64" s="121"/>
      <c r="J64" s="121"/>
      <c r="K64" s="121"/>
      <c r="L64" s="121"/>
      <c r="M64" s="121"/>
      <c r="N64" s="121"/>
      <c r="O64" s="121"/>
      <c r="P64" s="121"/>
      <c r="Q64" s="121"/>
    </row>
    <row r="65" spans="1:17" s="110" customFormat="1" ht="12.75">
      <c r="A65" s="121"/>
      <c r="B65" s="121"/>
      <c r="C65" s="121"/>
      <c r="D65" s="121"/>
      <c r="E65" s="121"/>
      <c r="F65" s="121"/>
      <c r="G65" s="121"/>
      <c r="H65" s="121"/>
      <c r="I65" s="121"/>
      <c r="J65" s="121"/>
      <c r="K65" s="121"/>
      <c r="L65" s="121"/>
      <c r="M65" s="121"/>
      <c r="N65" s="121"/>
      <c r="O65" s="121"/>
      <c r="P65" s="121"/>
      <c r="Q65" s="121"/>
    </row>
    <row r="66" spans="1:17" s="110" customFormat="1" ht="12.75">
      <c r="A66" s="121" t="s">
        <v>44</v>
      </c>
      <c r="B66" s="121"/>
      <c r="C66" s="121"/>
      <c r="D66" s="121"/>
      <c r="E66" s="121"/>
      <c r="F66" s="121"/>
      <c r="G66" s="121"/>
      <c r="H66" s="121"/>
      <c r="I66" s="121"/>
      <c r="J66" s="121"/>
      <c r="K66" s="121"/>
      <c r="L66" s="121"/>
      <c r="M66" s="121"/>
      <c r="N66" s="121"/>
      <c r="O66" s="121"/>
      <c r="P66" s="121"/>
      <c r="Q66" s="121"/>
    </row>
    <row r="67" spans="1:17" s="110" customFormat="1" ht="12.75">
      <c r="A67" s="121" t="s">
        <v>45</v>
      </c>
      <c r="B67" s="121"/>
      <c r="C67" s="121"/>
      <c r="D67" s="121"/>
      <c r="E67" s="121"/>
      <c r="F67" s="121"/>
      <c r="G67" s="121"/>
      <c r="H67" s="121"/>
      <c r="I67" s="121"/>
      <c r="J67" s="121"/>
      <c r="K67" s="121"/>
      <c r="L67" s="121"/>
      <c r="M67" s="121"/>
      <c r="N67" s="121"/>
      <c r="O67" s="121"/>
      <c r="P67" s="121"/>
      <c r="Q67" s="121"/>
    </row>
    <row r="68" spans="1:17" s="110" customFormat="1" ht="12.75">
      <c r="A68" s="121" t="s">
        <v>46</v>
      </c>
      <c r="B68" s="121"/>
      <c r="C68" s="121"/>
      <c r="D68" s="121"/>
      <c r="E68" s="121"/>
      <c r="F68" s="121"/>
      <c r="G68" s="121"/>
      <c r="H68" s="121"/>
      <c r="I68" s="121"/>
      <c r="J68" s="121"/>
      <c r="K68" s="121"/>
      <c r="L68" s="121"/>
      <c r="M68" s="121"/>
      <c r="N68" s="121"/>
      <c r="O68" s="121"/>
      <c r="P68" s="121"/>
      <c r="Q68" s="121"/>
    </row>
    <row r="69" spans="1:17" s="110" customFormat="1" ht="12.75">
      <c r="A69" s="121" t="s">
        <v>47</v>
      </c>
      <c r="B69" s="121"/>
      <c r="C69" s="121"/>
      <c r="D69" s="121"/>
      <c r="E69" s="121"/>
      <c r="F69" s="121"/>
      <c r="G69" s="121"/>
      <c r="H69" s="121"/>
      <c r="I69" s="121"/>
      <c r="J69" s="121"/>
      <c r="K69" s="121"/>
      <c r="L69" s="121"/>
      <c r="M69" s="121"/>
      <c r="N69" s="121"/>
      <c r="O69" s="121"/>
      <c r="P69" s="121"/>
      <c r="Q69" s="121"/>
    </row>
    <row r="70" spans="1:17" s="110" customFormat="1" ht="12.75">
      <c r="A70" s="121" t="s">
        <v>48</v>
      </c>
      <c r="B70" s="121"/>
      <c r="C70" s="121"/>
      <c r="D70" s="121"/>
      <c r="E70" s="121"/>
      <c r="F70" s="121"/>
      <c r="G70" s="121"/>
      <c r="H70" s="121"/>
      <c r="I70" s="121"/>
      <c r="J70" s="121"/>
      <c r="K70" s="121"/>
      <c r="L70" s="121"/>
      <c r="M70" s="121"/>
      <c r="N70" s="121"/>
      <c r="O70" s="121"/>
      <c r="P70" s="121"/>
      <c r="Q70" s="121"/>
    </row>
    <row r="71" spans="1:17" s="110" customFormat="1" ht="12.75">
      <c r="A71" s="121" t="s">
        <v>49</v>
      </c>
      <c r="B71" s="121"/>
      <c r="C71" s="121"/>
      <c r="D71" s="121"/>
      <c r="E71" s="121"/>
      <c r="F71" s="121"/>
      <c r="G71" s="121"/>
      <c r="H71" s="121"/>
      <c r="I71" s="121"/>
      <c r="J71" s="121"/>
      <c r="K71" s="121"/>
      <c r="L71" s="121"/>
      <c r="M71" s="121"/>
      <c r="N71" s="121"/>
      <c r="O71" s="121"/>
      <c r="P71" s="121"/>
      <c r="Q71" s="121"/>
    </row>
    <row r="72" spans="1:17" s="110" customFormat="1" ht="12.75">
      <c r="A72" s="121" t="s">
        <v>50</v>
      </c>
      <c r="B72" s="121"/>
      <c r="C72" s="121"/>
      <c r="D72" s="121"/>
      <c r="E72" s="121"/>
      <c r="F72" s="121"/>
      <c r="G72" s="121"/>
      <c r="H72" s="121"/>
      <c r="I72" s="121"/>
      <c r="J72" s="121"/>
      <c r="K72" s="121"/>
      <c r="L72" s="121"/>
      <c r="M72" s="121"/>
      <c r="N72" s="121"/>
      <c r="O72" s="121"/>
      <c r="P72" s="121"/>
      <c r="Q72" s="121"/>
    </row>
    <row r="73" spans="1:17" s="110" customFormat="1" ht="12.75">
      <c r="A73" s="121" t="s">
        <v>51</v>
      </c>
      <c r="B73" s="121"/>
      <c r="C73" s="121"/>
      <c r="D73" s="121"/>
      <c r="E73" s="121"/>
      <c r="F73" s="121"/>
      <c r="G73" s="121"/>
      <c r="H73" s="121"/>
      <c r="I73" s="121"/>
      <c r="J73" s="121"/>
      <c r="K73" s="121"/>
      <c r="L73" s="121"/>
      <c r="M73" s="121"/>
      <c r="N73" s="121"/>
      <c r="O73" s="121"/>
      <c r="P73" s="121"/>
      <c r="Q73" s="121"/>
    </row>
    <row r="74" spans="1:17" s="110" customFormat="1" ht="12.75">
      <c r="A74" s="121"/>
      <c r="B74" s="121"/>
      <c r="C74" s="121"/>
      <c r="D74" s="121"/>
      <c r="E74" s="121"/>
      <c r="F74" s="121"/>
      <c r="G74" s="121"/>
      <c r="H74" s="121"/>
      <c r="I74" s="121"/>
      <c r="J74" s="121"/>
      <c r="K74" s="121"/>
      <c r="L74" s="121"/>
      <c r="M74" s="121"/>
      <c r="N74" s="121"/>
      <c r="O74" s="121"/>
      <c r="P74" s="121"/>
      <c r="Q74" s="121"/>
    </row>
    <row r="75" spans="1:17" s="110" customFormat="1" ht="12.75">
      <c r="A75" s="121" t="s">
        <v>52</v>
      </c>
      <c r="B75" s="121"/>
      <c r="C75" s="121"/>
      <c r="D75" s="121"/>
      <c r="E75" s="121"/>
      <c r="F75" s="121"/>
      <c r="G75" s="121"/>
      <c r="H75" s="121"/>
      <c r="I75" s="121"/>
      <c r="J75" s="121"/>
      <c r="K75" s="121"/>
      <c r="L75" s="121"/>
      <c r="M75" s="121"/>
      <c r="N75" s="121"/>
      <c r="O75" s="121"/>
      <c r="P75" s="121"/>
      <c r="Q75" s="121"/>
    </row>
    <row r="76" spans="1:17" ht="12.75">
      <c r="A76" s="80"/>
      <c r="B76" s="80"/>
      <c r="C76" s="80"/>
      <c r="D76" s="80"/>
      <c r="E76" s="80"/>
      <c r="F76" s="80"/>
      <c r="G76" s="80"/>
      <c r="H76" s="104"/>
      <c r="I76" s="104"/>
      <c r="J76" s="104"/>
      <c r="K76" s="104"/>
      <c r="L76" s="104"/>
      <c r="M76" s="104"/>
      <c r="N76" s="104"/>
      <c r="O76" s="104"/>
      <c r="P76" s="104"/>
      <c r="Q76" s="104"/>
    </row>
    <row r="77" spans="7:17" ht="12.75">
      <c r="G77" s="80"/>
      <c r="H77" s="104"/>
      <c r="I77" s="104"/>
      <c r="J77" s="104"/>
      <c r="K77" s="104"/>
      <c r="L77" s="104"/>
      <c r="M77" s="104"/>
      <c r="N77" s="104"/>
      <c r="O77" s="104"/>
      <c r="P77" s="104"/>
      <c r="Q77" s="104"/>
    </row>
    <row r="78" spans="7:17" ht="12.75">
      <c r="G78" s="80"/>
      <c r="H78" s="104"/>
      <c r="I78" s="104"/>
      <c r="J78" s="104"/>
      <c r="K78" s="104"/>
      <c r="L78" s="104"/>
      <c r="M78" s="104"/>
      <c r="N78" s="104"/>
      <c r="O78" s="104"/>
      <c r="P78" s="104"/>
      <c r="Q78" s="104"/>
    </row>
    <row r="79" spans="1:17" ht="12.75">
      <c r="A79" s="80"/>
      <c r="B79" s="80"/>
      <c r="C79" s="80"/>
      <c r="D79" s="80"/>
      <c r="E79" s="80"/>
      <c r="F79" s="80"/>
      <c r="G79" s="80"/>
      <c r="H79" s="104"/>
      <c r="I79" s="104"/>
      <c r="J79" s="104"/>
      <c r="K79" s="104"/>
      <c r="L79" s="104"/>
      <c r="M79" s="104"/>
      <c r="N79" s="104"/>
      <c r="O79" s="104"/>
      <c r="P79" s="104"/>
      <c r="Q79" s="104"/>
    </row>
    <row r="80" spans="1:17" ht="12.75">
      <c r="A80" s="80"/>
      <c r="B80" s="80"/>
      <c r="C80" s="80"/>
      <c r="D80" s="80"/>
      <c r="E80" s="80"/>
      <c r="F80" s="80"/>
      <c r="G80" s="80"/>
      <c r="H80" s="104"/>
      <c r="I80" s="104"/>
      <c r="J80" s="104"/>
      <c r="K80" s="104"/>
      <c r="L80" s="104"/>
      <c r="M80" s="104"/>
      <c r="N80" s="104"/>
      <c r="O80" s="104"/>
      <c r="P80" s="104"/>
      <c r="Q80" s="104"/>
    </row>
    <row r="81" spans="1:17" ht="12.75">
      <c r="A81" s="80"/>
      <c r="B81" s="80"/>
      <c r="C81" s="80"/>
      <c r="D81" s="80"/>
      <c r="E81" s="80"/>
      <c r="F81" s="80"/>
      <c r="G81" s="80"/>
      <c r="H81" s="104"/>
      <c r="I81" s="104"/>
      <c r="J81" s="104"/>
      <c r="K81" s="104"/>
      <c r="L81" s="104"/>
      <c r="M81" s="104"/>
      <c r="N81" s="104"/>
      <c r="O81" s="104"/>
      <c r="P81" s="104"/>
      <c r="Q81" s="104"/>
    </row>
    <row r="82" spans="1:17" ht="12.75">
      <c r="A82" s="80"/>
      <c r="B82" s="80"/>
      <c r="C82" s="80"/>
      <c r="D82" s="80"/>
      <c r="E82" s="80"/>
      <c r="F82" s="80"/>
      <c r="G82" s="80"/>
      <c r="H82" s="104"/>
      <c r="I82" s="104"/>
      <c r="J82" s="104"/>
      <c r="K82" s="104"/>
      <c r="L82" s="104"/>
      <c r="M82" s="104"/>
      <c r="N82" s="104"/>
      <c r="O82" s="104"/>
      <c r="P82" s="104"/>
      <c r="Q82" s="104"/>
    </row>
    <row r="83" spans="1:17" ht="12.75">
      <c r="A83" s="80"/>
      <c r="B83" s="80"/>
      <c r="C83" s="80"/>
      <c r="D83" s="80"/>
      <c r="E83" s="80"/>
      <c r="F83" s="80"/>
      <c r="G83" s="80"/>
      <c r="H83" s="104"/>
      <c r="I83" s="104"/>
      <c r="J83" s="104"/>
      <c r="K83" s="104"/>
      <c r="L83" s="104"/>
      <c r="M83" s="104"/>
      <c r="N83" s="104"/>
      <c r="O83" s="104"/>
      <c r="P83" s="104"/>
      <c r="Q83" s="104"/>
    </row>
    <row r="84" spans="1:17" ht="12.75">
      <c r="A84" s="80"/>
      <c r="B84" s="80"/>
      <c r="C84" s="80"/>
      <c r="D84" s="80"/>
      <c r="E84" s="80"/>
      <c r="F84" s="80"/>
      <c r="G84" s="80"/>
      <c r="H84" s="104"/>
      <c r="I84" s="104"/>
      <c r="J84" s="104"/>
      <c r="K84" s="104"/>
      <c r="L84" s="104"/>
      <c r="M84" s="104"/>
      <c r="N84" s="104"/>
      <c r="O84" s="104"/>
      <c r="P84" s="104"/>
      <c r="Q84" s="104"/>
    </row>
    <row r="85" spans="1:17" ht="12.75">
      <c r="A85" s="80"/>
      <c r="B85" s="80"/>
      <c r="C85" s="80"/>
      <c r="D85" s="80"/>
      <c r="E85" s="80"/>
      <c r="F85" s="80"/>
      <c r="G85" s="80"/>
      <c r="H85" s="104"/>
      <c r="I85" s="104"/>
      <c r="J85" s="104"/>
      <c r="K85" s="104"/>
      <c r="L85" s="104"/>
      <c r="M85" s="104"/>
      <c r="N85" s="104"/>
      <c r="O85" s="104"/>
      <c r="P85" s="104"/>
      <c r="Q85" s="104"/>
    </row>
    <row r="86" spans="1:17" ht="12.75">
      <c r="A86" s="80"/>
      <c r="B86" s="80"/>
      <c r="C86" s="80"/>
      <c r="D86" s="80"/>
      <c r="E86" s="80"/>
      <c r="F86" s="80"/>
      <c r="G86" s="80"/>
      <c r="H86" s="104"/>
      <c r="I86" s="104"/>
      <c r="J86" s="104"/>
      <c r="K86" s="104"/>
      <c r="L86" s="104"/>
      <c r="M86" s="104"/>
      <c r="N86" s="104"/>
      <c r="O86" s="104"/>
      <c r="P86" s="104"/>
      <c r="Q86" s="104"/>
    </row>
    <row r="87" spans="1:17" ht="12.75">
      <c r="A87" s="80"/>
      <c r="B87" s="80"/>
      <c r="C87" s="80"/>
      <c r="D87" s="80"/>
      <c r="E87" s="80"/>
      <c r="F87" s="80"/>
      <c r="G87" s="80"/>
      <c r="H87" s="104"/>
      <c r="I87" s="104"/>
      <c r="J87" s="104"/>
      <c r="K87" s="104"/>
      <c r="L87" s="104"/>
      <c r="M87" s="104"/>
      <c r="N87" s="104"/>
      <c r="O87" s="104"/>
      <c r="P87" s="104"/>
      <c r="Q87" s="104"/>
    </row>
    <row r="88" spans="1:17" ht="12.75">
      <c r="A88" s="80"/>
      <c r="B88" s="80"/>
      <c r="C88" s="80"/>
      <c r="D88" s="80"/>
      <c r="E88" s="80"/>
      <c r="F88" s="80"/>
      <c r="G88" s="80"/>
      <c r="H88" s="104"/>
      <c r="I88" s="104"/>
      <c r="J88" s="104"/>
      <c r="K88" s="104"/>
      <c r="L88" s="104"/>
      <c r="M88" s="104"/>
      <c r="N88" s="104"/>
      <c r="O88" s="104"/>
      <c r="P88" s="104"/>
      <c r="Q88" s="104"/>
    </row>
    <row r="89" spans="1:17" ht="12.75">
      <c r="A89" s="80"/>
      <c r="B89" s="80"/>
      <c r="C89" s="80"/>
      <c r="D89" s="80"/>
      <c r="E89" s="80"/>
      <c r="F89" s="80"/>
      <c r="G89" s="80"/>
      <c r="H89" s="104"/>
      <c r="I89" s="104"/>
      <c r="J89" s="104"/>
      <c r="K89" s="104"/>
      <c r="L89" s="104"/>
      <c r="M89" s="104"/>
      <c r="N89" s="104"/>
      <c r="O89" s="104"/>
      <c r="P89" s="104"/>
      <c r="Q89" s="104"/>
    </row>
    <row r="90" spans="1:17" ht="12.75">
      <c r="A90" s="80"/>
      <c r="B90" s="80"/>
      <c r="C90" s="80"/>
      <c r="D90" s="80"/>
      <c r="E90" s="80"/>
      <c r="F90" s="80"/>
      <c r="G90" s="80"/>
      <c r="H90" s="104"/>
      <c r="I90" s="104"/>
      <c r="J90" s="104"/>
      <c r="K90" s="104"/>
      <c r="L90" s="104"/>
      <c r="M90" s="104"/>
      <c r="N90" s="104"/>
      <c r="O90" s="104"/>
      <c r="P90" s="104"/>
      <c r="Q90" s="104"/>
    </row>
    <row r="91" spans="1:17" ht="12.75">
      <c r="A91" s="80"/>
      <c r="B91" s="80"/>
      <c r="C91" s="80"/>
      <c r="D91" s="80"/>
      <c r="E91" s="80"/>
      <c r="F91" s="80"/>
      <c r="G91" s="80"/>
      <c r="H91" s="104"/>
      <c r="I91" s="104"/>
      <c r="J91" s="104"/>
      <c r="K91" s="104"/>
      <c r="L91" s="104"/>
      <c r="M91" s="104"/>
      <c r="N91" s="104"/>
      <c r="O91" s="104"/>
      <c r="P91" s="104"/>
      <c r="Q91" s="104"/>
    </row>
    <row r="92" spans="1:17" ht="12.75">
      <c r="A92" s="80"/>
      <c r="B92" s="80"/>
      <c r="C92" s="80"/>
      <c r="D92" s="80"/>
      <c r="E92" s="80"/>
      <c r="F92" s="80"/>
      <c r="G92" s="80"/>
      <c r="H92" s="104"/>
      <c r="I92" s="104"/>
      <c r="J92" s="104"/>
      <c r="K92" s="104"/>
      <c r="L92" s="104"/>
      <c r="M92" s="104"/>
      <c r="N92" s="104"/>
      <c r="O92" s="104"/>
      <c r="P92" s="104"/>
      <c r="Q92" s="104"/>
    </row>
    <row r="93" spans="1:17" ht="12.75">
      <c r="A93" s="80"/>
      <c r="B93" s="80"/>
      <c r="C93" s="80"/>
      <c r="D93" s="80"/>
      <c r="E93" s="80"/>
      <c r="F93" s="80"/>
      <c r="G93" s="80"/>
      <c r="H93" s="104"/>
      <c r="I93" s="104"/>
      <c r="J93" s="104"/>
      <c r="K93" s="104"/>
      <c r="L93" s="104"/>
      <c r="M93" s="104"/>
      <c r="N93" s="104"/>
      <c r="O93" s="104"/>
      <c r="P93" s="104"/>
      <c r="Q93" s="104"/>
    </row>
    <row r="94" spans="1:17" ht="12.75">
      <c r="A94" s="80"/>
      <c r="B94" s="80"/>
      <c r="C94" s="80"/>
      <c r="D94" s="80"/>
      <c r="E94" s="80"/>
      <c r="F94" s="80"/>
      <c r="G94" s="80"/>
      <c r="H94" s="104"/>
      <c r="I94" s="104"/>
      <c r="J94" s="104"/>
      <c r="K94" s="104"/>
      <c r="L94" s="104"/>
      <c r="M94" s="104"/>
      <c r="N94" s="104"/>
      <c r="O94" s="104"/>
      <c r="P94" s="104"/>
      <c r="Q94" s="104"/>
    </row>
    <row r="95" spans="1:17" ht="12.75">
      <c r="A95" s="80"/>
      <c r="B95" s="80"/>
      <c r="C95" s="80"/>
      <c r="D95" s="80"/>
      <c r="E95" s="80"/>
      <c r="F95" s="80"/>
      <c r="G95" s="80"/>
      <c r="H95" s="104"/>
      <c r="I95" s="104"/>
      <c r="J95" s="104"/>
      <c r="K95" s="104"/>
      <c r="L95" s="104"/>
      <c r="M95" s="104"/>
      <c r="N95" s="104"/>
      <c r="O95" s="104"/>
      <c r="P95" s="104"/>
      <c r="Q95" s="104"/>
    </row>
    <row r="96" spans="1:17" ht="12.75">
      <c r="A96" s="80"/>
      <c r="B96" s="80"/>
      <c r="C96" s="80"/>
      <c r="D96" s="80"/>
      <c r="E96" s="80"/>
      <c r="F96" s="80"/>
      <c r="G96" s="80"/>
      <c r="H96" s="104"/>
      <c r="I96" s="104"/>
      <c r="J96" s="104"/>
      <c r="K96" s="104"/>
      <c r="L96" s="104"/>
      <c r="M96" s="104"/>
      <c r="N96" s="104"/>
      <c r="O96" s="104"/>
      <c r="P96" s="104"/>
      <c r="Q96" s="104"/>
    </row>
    <row r="97" spans="1:17" ht="12.75">
      <c r="A97" s="80"/>
      <c r="B97" s="80"/>
      <c r="C97" s="80"/>
      <c r="D97" s="80"/>
      <c r="E97" s="80"/>
      <c r="F97" s="80"/>
      <c r="G97" s="80"/>
      <c r="H97" s="104"/>
      <c r="I97" s="104"/>
      <c r="J97" s="104"/>
      <c r="K97" s="104"/>
      <c r="L97" s="104"/>
      <c r="M97" s="104"/>
      <c r="N97" s="104"/>
      <c r="O97" s="104"/>
      <c r="P97" s="104"/>
      <c r="Q97" s="104"/>
    </row>
  </sheetData>
  <sheetProtection/>
  <mergeCells count="4">
    <mergeCell ref="B8:G8"/>
    <mergeCell ref="B9:C9"/>
    <mergeCell ref="D9:E9"/>
    <mergeCell ref="F9:G9"/>
  </mergeCells>
  <printOptions/>
  <pageMargins left="0.5" right="0.5" top="0.5" bottom="0.5" header="0.25" footer="0.25"/>
  <pageSetup horizontalDpi="600" verticalDpi="600" orientation="landscape" r:id="rId3"/>
  <headerFooter alignWithMargins="0">
    <oddFooter>&amp;LMET AD-714OL&amp;C=&amp;P=&amp;R2013 Summer1 / Chee</oddFooter>
  </headerFooter>
  <legacyDrawing r:id="rId2"/>
</worksheet>
</file>

<file path=xl/worksheets/sheet2.xml><?xml version="1.0" encoding="utf-8"?>
<worksheet xmlns="http://schemas.openxmlformats.org/spreadsheetml/2006/main" xmlns:r="http://schemas.openxmlformats.org/officeDocument/2006/relationships">
  <dimension ref="A2:N37"/>
  <sheetViews>
    <sheetView zoomScalePageLayoutView="0" workbookViewId="0" topLeftCell="A5">
      <selection activeCell="A13" sqref="A13"/>
    </sheetView>
  </sheetViews>
  <sheetFormatPr defaultColWidth="9.140625" defaultRowHeight="12.75"/>
  <cols>
    <col min="1" max="1" width="22.7109375" style="0" customWidth="1"/>
    <col min="2" max="2" width="18.28125" style="80" customWidth="1"/>
    <col min="3" max="3" width="19.00390625" style="80" customWidth="1"/>
    <col min="4" max="4" width="14.00390625" style="80" bestFit="1" customWidth="1"/>
    <col min="5" max="5" width="14.421875" style="80" customWidth="1"/>
    <col min="6" max="7" width="14.00390625" style="0" bestFit="1" customWidth="1"/>
    <col min="8" max="8" width="16.57421875" style="0" customWidth="1"/>
    <col min="9" max="9" width="15.57421875" style="0" customWidth="1"/>
    <col min="10" max="10" width="14.00390625" style="0" bestFit="1" customWidth="1"/>
    <col min="11" max="11" width="14.421875" style="0" customWidth="1"/>
  </cols>
  <sheetData>
    <row r="1" ht="13.5" thickBot="1"/>
    <row r="2" spans="1:14" ht="12" customHeight="1">
      <c r="A2" s="16"/>
      <c r="B2" s="89" t="s">
        <v>27</v>
      </c>
      <c r="C2" s="89" t="s">
        <v>28</v>
      </c>
      <c r="D2" s="89" t="s">
        <v>29</v>
      </c>
      <c r="E2" s="89" t="s">
        <v>30</v>
      </c>
      <c r="F2" s="90" t="s">
        <v>31</v>
      </c>
      <c r="G2" s="90" t="s">
        <v>32</v>
      </c>
      <c r="H2" s="90" t="s">
        <v>33</v>
      </c>
      <c r="I2" s="90" t="s">
        <v>34</v>
      </c>
      <c r="J2" s="90" t="s">
        <v>35</v>
      </c>
      <c r="K2" s="91" t="s">
        <v>36</v>
      </c>
      <c r="L2" s="78" t="s">
        <v>37</v>
      </c>
      <c r="M2" s="79"/>
      <c r="N2" s="79"/>
    </row>
    <row r="3" spans="1:11" ht="12.75">
      <c r="A3" s="92" t="s">
        <v>26</v>
      </c>
      <c r="B3" s="87"/>
      <c r="C3" s="87"/>
      <c r="D3" s="87"/>
      <c r="E3" s="87"/>
      <c r="F3" s="88"/>
      <c r="G3" s="88"/>
      <c r="H3" s="88"/>
      <c r="I3" s="88"/>
      <c r="J3" s="88"/>
      <c r="K3" s="3"/>
    </row>
    <row r="4" spans="1:11" ht="12.75">
      <c r="A4" s="93" t="s">
        <v>25</v>
      </c>
      <c r="B4" s="87"/>
      <c r="C4" s="87"/>
      <c r="D4" s="87"/>
      <c r="E4" s="87"/>
      <c r="F4" s="88"/>
      <c r="G4" s="88"/>
      <c r="H4" s="88"/>
      <c r="I4" s="88"/>
      <c r="J4" s="88"/>
      <c r="K4" s="3"/>
    </row>
    <row r="5" spans="1:11" ht="39.75" customHeight="1">
      <c r="A5" s="94" t="s">
        <v>38</v>
      </c>
      <c r="B5" s="87">
        <f>16176839.94*0.4</f>
        <v>6470735.976</v>
      </c>
      <c r="C5" s="87">
        <v>18894364.933950003</v>
      </c>
      <c r="D5" s="87">
        <v>21942824.66411399</v>
      </c>
      <c r="E5" s="87">
        <v>25353322.09079813</v>
      </c>
      <c r="F5" s="87">
        <v>29181891.13878245</v>
      </c>
      <c r="G5" s="87">
        <v>33460697.05556527</v>
      </c>
      <c r="H5" s="87">
        <v>38223633.8409367</v>
      </c>
      <c r="I5" s="87">
        <v>43549058.913315326</v>
      </c>
      <c r="J5" s="87">
        <v>49498804.14876885</v>
      </c>
      <c r="K5" s="95">
        <v>56112566.18434175</v>
      </c>
    </row>
    <row r="6" spans="1:11" ht="25.5">
      <c r="A6" s="94" t="s">
        <v>39</v>
      </c>
      <c r="B6" s="87">
        <f>16176839.94*0.4+507712.86+507712.86</f>
        <v>7486161.696</v>
      </c>
      <c r="C6" s="87"/>
      <c r="D6" s="87"/>
      <c r="E6" s="87"/>
      <c r="F6" s="88"/>
      <c r="G6" s="88"/>
      <c r="H6" s="88"/>
      <c r="I6" s="88"/>
      <c r="J6" s="88"/>
      <c r="K6" s="3"/>
    </row>
    <row r="7" spans="1:11" ht="12.75">
      <c r="A7" s="2"/>
      <c r="B7" s="87"/>
      <c r="C7" s="87"/>
      <c r="D7" s="87"/>
      <c r="E7" s="87"/>
      <c r="F7" s="88"/>
      <c r="G7" s="88"/>
      <c r="H7" s="88"/>
      <c r="I7" s="88"/>
      <c r="J7" s="88"/>
      <c r="K7" s="3"/>
    </row>
    <row r="8" spans="1:11" ht="25.5">
      <c r="A8" s="94" t="s">
        <v>40</v>
      </c>
      <c r="B8" s="87"/>
      <c r="C8" s="87"/>
      <c r="D8" s="87"/>
      <c r="E8" s="87"/>
      <c r="F8" s="88"/>
      <c r="G8" s="88"/>
      <c r="H8" s="88"/>
      <c r="I8" s="88"/>
      <c r="J8" s="88"/>
      <c r="K8" s="3"/>
    </row>
    <row r="9" spans="1:11" ht="12.75">
      <c r="A9" s="94" t="s">
        <v>41</v>
      </c>
      <c r="B9" s="87">
        <v>-50000</v>
      </c>
      <c r="C9" s="87"/>
      <c r="D9" s="87"/>
      <c r="E9" s="87"/>
      <c r="F9" s="88"/>
      <c r="G9" s="88"/>
      <c r="H9" s="88"/>
      <c r="I9" s="88"/>
      <c r="J9" s="88"/>
      <c r="K9" s="3"/>
    </row>
    <row r="10" spans="1:11" ht="12.75">
      <c r="A10" s="94" t="s">
        <v>42</v>
      </c>
      <c r="B10" s="87">
        <v>-10000</v>
      </c>
      <c r="C10" s="87"/>
      <c r="D10" s="87"/>
      <c r="E10" s="87"/>
      <c r="F10" s="88"/>
      <c r="G10" s="88"/>
      <c r="H10" s="88"/>
      <c r="I10" s="88"/>
      <c r="J10" s="88"/>
      <c r="K10" s="3"/>
    </row>
    <row r="11" spans="1:11" ht="26.25" thickBot="1">
      <c r="A11" s="100" t="s">
        <v>43</v>
      </c>
      <c r="B11" s="101">
        <f>B14+B16-B15</f>
        <v>2503650.835000001</v>
      </c>
      <c r="C11" s="101"/>
      <c r="D11" s="101"/>
      <c r="E11" s="101"/>
      <c r="F11" s="102"/>
      <c r="G11" s="102"/>
      <c r="H11" s="102"/>
      <c r="I11" s="102"/>
      <c r="J11" s="102"/>
      <c r="K11" s="103"/>
    </row>
    <row r="12" spans="1:11" ht="27" customHeight="1" thickTop="1">
      <c r="A12" s="94" t="s">
        <v>58</v>
      </c>
      <c r="B12" s="87">
        <f>50000+10000+2503650.84</f>
        <v>2563650.84</v>
      </c>
      <c r="C12" s="87"/>
      <c r="D12" s="87"/>
      <c r="E12" s="87"/>
      <c r="F12" s="88"/>
      <c r="G12" s="88"/>
      <c r="H12" s="88"/>
      <c r="I12" s="88"/>
      <c r="J12" s="88"/>
      <c r="K12" s="3"/>
    </row>
    <row r="13" spans="1:11" ht="39" thickBot="1">
      <c r="A13" s="100" t="s">
        <v>59</v>
      </c>
      <c r="B13" s="101">
        <f>B6-B12</f>
        <v>4922510.856000001</v>
      </c>
      <c r="C13" s="101"/>
      <c r="D13" s="101"/>
      <c r="E13" s="101"/>
      <c r="F13" s="102"/>
      <c r="G13" s="102"/>
      <c r="H13" s="102"/>
      <c r="I13" s="102"/>
      <c r="J13" s="102"/>
      <c r="K13" s="103"/>
    </row>
    <row r="14" spans="1:11" ht="26.25" thickTop="1">
      <c r="A14" s="94" t="s">
        <v>55</v>
      </c>
      <c r="B14" s="87">
        <f>34120245.6/360*75</f>
        <v>7108384.500000001</v>
      </c>
      <c r="C14" s="87"/>
      <c r="D14" s="87"/>
      <c r="E14" s="87"/>
      <c r="F14" s="88"/>
      <c r="G14" s="88"/>
      <c r="H14" s="88"/>
      <c r="I14" s="88"/>
      <c r="J14" s="88"/>
      <c r="K14" s="3"/>
    </row>
    <row r="15" spans="1:11" ht="25.5">
      <c r="A15" s="94" t="s">
        <v>56</v>
      </c>
      <c r="B15" s="87">
        <f>19793810.06-507712.86*30</f>
        <v>4562424.26</v>
      </c>
      <c r="C15" s="87"/>
      <c r="D15" s="87"/>
      <c r="E15" s="87"/>
      <c r="F15" s="88"/>
      <c r="G15" s="88"/>
      <c r="H15" s="88"/>
      <c r="I15" s="88"/>
      <c r="J15" s="88"/>
      <c r="K15" s="3"/>
    </row>
    <row r="16" spans="1:11" ht="26.25" thickBot="1">
      <c r="A16" s="96" t="s">
        <v>57</v>
      </c>
      <c r="B16" s="97">
        <f>-507712.86/12</f>
        <v>-42309.405</v>
      </c>
      <c r="C16" s="97"/>
      <c r="D16" s="97"/>
      <c r="E16" s="97"/>
      <c r="F16" s="98"/>
      <c r="G16" s="98"/>
      <c r="H16" s="98"/>
      <c r="I16" s="98"/>
      <c r="J16" s="98"/>
      <c r="K16" s="99"/>
    </row>
    <row r="20" ht="12.75">
      <c r="A20" s="85" t="s">
        <v>53</v>
      </c>
    </row>
    <row r="21" ht="12.75">
      <c r="A21" s="84"/>
    </row>
    <row r="22" ht="12.75">
      <c r="A22" s="85" t="s">
        <v>54</v>
      </c>
    </row>
    <row r="23" ht="12.75">
      <c r="A23" s="84"/>
    </row>
    <row r="24" spans="1:7" ht="15">
      <c r="A24" s="81"/>
      <c r="B24" s="86"/>
      <c r="C24" s="86"/>
      <c r="D24" s="86"/>
      <c r="E24" s="86"/>
      <c r="F24" s="78"/>
      <c r="G24" s="78"/>
    </row>
    <row r="25" spans="1:7" ht="12.75">
      <c r="A25" s="82"/>
      <c r="B25" s="86"/>
      <c r="C25" s="86"/>
      <c r="D25" s="86"/>
      <c r="E25" s="86"/>
      <c r="F25" s="78"/>
      <c r="G25" s="78"/>
    </row>
    <row r="26" spans="1:7" ht="12.75">
      <c r="A26" s="83" t="s">
        <v>44</v>
      </c>
      <c r="B26" s="86"/>
      <c r="C26" s="86"/>
      <c r="D26" s="86"/>
      <c r="E26" s="86"/>
      <c r="F26" s="78"/>
      <c r="G26" s="78"/>
    </row>
    <row r="27" spans="1:7" ht="12.75">
      <c r="A27" s="83" t="s">
        <v>45</v>
      </c>
      <c r="B27" s="86"/>
      <c r="C27" s="86"/>
      <c r="D27" s="86"/>
      <c r="E27" s="86"/>
      <c r="F27" s="78"/>
      <c r="G27" s="78"/>
    </row>
    <row r="28" spans="1:7" ht="12.75">
      <c r="A28" s="83" t="s">
        <v>46</v>
      </c>
      <c r="B28" s="86"/>
      <c r="C28" s="86"/>
      <c r="D28" s="86"/>
      <c r="E28" s="86"/>
      <c r="F28" s="78"/>
      <c r="G28" s="78"/>
    </row>
    <row r="29" spans="1:7" ht="12.75">
      <c r="A29" s="83" t="s">
        <v>47</v>
      </c>
      <c r="B29" s="86"/>
      <c r="C29" s="86"/>
      <c r="D29" s="86"/>
      <c r="E29" s="86"/>
      <c r="F29" s="78"/>
      <c r="G29" s="78"/>
    </row>
    <row r="30" spans="1:7" ht="12.75">
      <c r="A30" s="83" t="s">
        <v>48</v>
      </c>
      <c r="B30" s="86"/>
      <c r="C30" s="86"/>
      <c r="D30" s="86"/>
      <c r="E30" s="86"/>
      <c r="F30" s="78"/>
      <c r="G30" s="78"/>
    </row>
    <row r="31" spans="1:7" ht="12.75">
      <c r="A31" s="83" t="s">
        <v>49</v>
      </c>
      <c r="B31" s="86"/>
      <c r="C31" s="86"/>
      <c r="D31" s="86"/>
      <c r="E31" s="86"/>
      <c r="F31" s="78"/>
      <c r="G31" s="78"/>
    </row>
    <row r="32" spans="1:7" ht="12.75">
      <c r="A32" s="83" t="s">
        <v>50</v>
      </c>
      <c r="B32" s="86"/>
      <c r="C32" s="86"/>
      <c r="D32" s="86"/>
      <c r="E32" s="86"/>
      <c r="F32" s="78"/>
      <c r="G32" s="78"/>
    </row>
    <row r="33" spans="1:7" ht="12.75">
      <c r="A33" s="83" t="s">
        <v>51</v>
      </c>
      <c r="B33" s="86"/>
      <c r="C33" s="86"/>
      <c r="D33" s="86"/>
      <c r="E33" s="86"/>
      <c r="F33" s="78"/>
      <c r="G33" s="78"/>
    </row>
    <row r="34" spans="1:7" ht="12.75">
      <c r="A34" s="84"/>
      <c r="B34" s="86"/>
      <c r="C34" s="86"/>
      <c r="D34" s="86"/>
      <c r="E34" s="86"/>
      <c r="F34" s="78"/>
      <c r="G34" s="78"/>
    </row>
    <row r="35" spans="1:7" ht="12.75">
      <c r="A35" s="85" t="s">
        <v>52</v>
      </c>
      <c r="B35" s="86"/>
      <c r="C35" s="86"/>
      <c r="D35" s="86"/>
      <c r="E35" s="86"/>
      <c r="F35" s="78"/>
      <c r="G35" s="78"/>
    </row>
    <row r="36" spans="1:7" ht="12.75">
      <c r="A36" s="78"/>
      <c r="B36" s="86"/>
      <c r="C36" s="86"/>
      <c r="D36" s="86"/>
      <c r="E36" s="86"/>
      <c r="F36" s="78"/>
      <c r="G36" s="78"/>
    </row>
    <row r="37" spans="1:7" ht="12.75">
      <c r="A37" s="78"/>
      <c r="B37" s="86"/>
      <c r="C37" s="86"/>
      <c r="D37" s="86"/>
      <c r="E37" s="86"/>
      <c r="F37" s="78"/>
      <c r="G37" s="7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 Chee</dc:creator>
  <cp:keywords/>
  <dc:description/>
  <cp:lastModifiedBy>Patrice</cp:lastModifiedBy>
  <cp:lastPrinted>2013-05-18T05:08:04Z</cp:lastPrinted>
  <dcterms:created xsi:type="dcterms:W3CDTF">2009-03-17T19:31:48Z</dcterms:created>
  <dcterms:modified xsi:type="dcterms:W3CDTF">2014-05-26T21:42:08Z</dcterms:modified>
  <cp:category/>
  <cp:version/>
  <cp:contentType/>
  <cp:contentStatus/>
</cp:coreProperties>
</file>