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autoCompressPictures="0"/>
  <bookViews>
    <workbookView xWindow="15960" yWindow="400" windowWidth="29240" windowHeight="1568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2" l="1"/>
  <c r="C42" i="2"/>
  <c r="D4" i="2"/>
  <c r="C11" i="2"/>
  <c r="C26" i="2"/>
  <c r="D14" i="2"/>
  <c r="D5" i="2"/>
  <c r="D15" i="2"/>
  <c r="D16" i="2"/>
  <c r="D18" i="2"/>
  <c r="D19" i="2"/>
  <c r="D20" i="2"/>
  <c r="D21" i="2"/>
  <c r="E3" i="2"/>
  <c r="E4" i="2"/>
  <c r="E14" i="2"/>
  <c r="D24" i="2"/>
  <c r="D26" i="2"/>
  <c r="D35" i="2"/>
  <c r="E5" i="2"/>
  <c r="E15" i="2"/>
  <c r="E6" i="2"/>
  <c r="E16" i="2"/>
  <c r="E18" i="2"/>
  <c r="E19" i="2"/>
  <c r="E20" i="2"/>
  <c r="E21" i="2"/>
  <c r="F3" i="2"/>
  <c r="F4" i="2"/>
  <c r="F14" i="2"/>
  <c r="E24" i="2"/>
  <c r="E26" i="2"/>
  <c r="E35" i="2"/>
  <c r="F5" i="2"/>
  <c r="F15" i="2"/>
  <c r="F6" i="2"/>
  <c r="F16" i="2"/>
  <c r="F18" i="2"/>
  <c r="F19" i="2"/>
  <c r="F20" i="2"/>
  <c r="F21" i="2"/>
  <c r="G3" i="2"/>
  <c r="G4" i="2"/>
  <c r="G14" i="2"/>
  <c r="F24" i="2"/>
  <c r="F26" i="2"/>
  <c r="F35" i="2"/>
  <c r="G5" i="2"/>
  <c r="G15" i="2"/>
  <c r="G6" i="2"/>
  <c r="G16" i="2"/>
  <c r="G18" i="2"/>
  <c r="G19" i="2"/>
  <c r="G20" i="2"/>
  <c r="G21" i="2"/>
  <c r="H3" i="2"/>
  <c r="H4" i="2"/>
  <c r="H14" i="2"/>
  <c r="G24" i="2"/>
  <c r="G26" i="2"/>
  <c r="G35" i="2"/>
  <c r="H5" i="2"/>
  <c r="H15" i="2"/>
  <c r="H6" i="2"/>
  <c r="H16" i="2"/>
  <c r="H18" i="2"/>
  <c r="H19" i="2"/>
  <c r="H20" i="2"/>
  <c r="H21" i="2"/>
  <c r="I3" i="2"/>
  <c r="I4" i="2"/>
  <c r="I14" i="2"/>
  <c r="H24" i="2"/>
  <c r="H26" i="2"/>
  <c r="H35" i="2"/>
  <c r="I5" i="2"/>
  <c r="I15" i="2"/>
  <c r="I6" i="2"/>
  <c r="I16" i="2"/>
  <c r="I18" i="2"/>
  <c r="I19" i="2"/>
  <c r="I20" i="2"/>
  <c r="I21" i="2"/>
  <c r="J3" i="2"/>
  <c r="J4" i="2"/>
  <c r="J14" i="2"/>
  <c r="I24" i="2"/>
  <c r="I26" i="2"/>
  <c r="I35" i="2"/>
  <c r="J5" i="2"/>
  <c r="J15" i="2"/>
  <c r="J6" i="2"/>
  <c r="J16" i="2"/>
  <c r="J18" i="2"/>
  <c r="J19" i="2"/>
  <c r="J20" i="2"/>
  <c r="J21" i="2"/>
  <c r="K3" i="2"/>
  <c r="K4" i="2"/>
  <c r="K14" i="2"/>
  <c r="J24" i="2"/>
  <c r="J26" i="2"/>
  <c r="J35" i="2"/>
  <c r="K5" i="2"/>
  <c r="K15" i="2"/>
  <c r="K6" i="2"/>
  <c r="K16" i="2"/>
  <c r="K18" i="2"/>
  <c r="K19" i="2"/>
  <c r="K20" i="2"/>
  <c r="K21" i="2"/>
  <c r="L3" i="2"/>
  <c r="L4" i="2"/>
  <c r="L14" i="2"/>
  <c r="K24" i="2"/>
  <c r="K26" i="2"/>
  <c r="K35" i="2"/>
  <c r="L5" i="2"/>
  <c r="L15" i="2"/>
  <c r="L6" i="2"/>
  <c r="L16" i="2"/>
  <c r="L18" i="2"/>
  <c r="L19" i="2"/>
  <c r="L20" i="2"/>
  <c r="L21" i="2"/>
  <c r="M3" i="2"/>
  <c r="M4" i="2"/>
  <c r="M14" i="2"/>
  <c r="L24" i="2"/>
  <c r="L26" i="2"/>
  <c r="L36" i="2"/>
  <c r="C35" i="2"/>
  <c r="L35" i="2"/>
  <c r="M5" i="2"/>
  <c r="M15" i="2"/>
  <c r="M6" i="2"/>
  <c r="M16" i="2"/>
  <c r="M18" i="2"/>
  <c r="M19" i="2"/>
  <c r="M20" i="2"/>
  <c r="M21" i="2"/>
  <c r="M22" i="2"/>
  <c r="M23" i="2"/>
  <c r="M24" i="2"/>
  <c r="M26" i="2"/>
  <c r="M35" i="2"/>
  <c r="C36" i="2"/>
  <c r="B27" i="2"/>
  <c r="C28" i="2"/>
  <c r="C33" i="2"/>
  <c r="C31" i="2"/>
  <c r="C29" i="2"/>
  <c r="D28" i="2"/>
  <c r="E28" i="2"/>
  <c r="F28" i="2"/>
  <c r="G28" i="2"/>
  <c r="H28" i="2"/>
  <c r="I28" i="2"/>
  <c r="J28" i="2"/>
  <c r="K28" i="2"/>
  <c r="L28" i="2"/>
  <c r="M28" i="2"/>
  <c r="N28" i="2"/>
  <c r="N26" i="2"/>
  <c r="N17" i="2"/>
  <c r="N14" i="2"/>
</calcChain>
</file>

<file path=xl/sharedStrings.xml><?xml version="1.0" encoding="utf-8"?>
<sst xmlns="http://schemas.openxmlformats.org/spreadsheetml/2006/main" count="54" uniqueCount="46">
  <si>
    <t>Inputs</t>
  </si>
  <si>
    <t>Base Case</t>
  </si>
  <si>
    <t>Equipment Costs</t>
  </si>
  <si>
    <t>Project life, straight line depreciation</t>
  </si>
  <si>
    <t>10 years</t>
  </si>
  <si>
    <t>Salvage Value</t>
  </si>
  <si>
    <t>Units sold every year</t>
  </si>
  <si>
    <t>Sales price per unit, year 1</t>
  </si>
  <si>
    <t>Annual change in sales price, after year 1</t>
  </si>
  <si>
    <t>Variable cost per unit (VC), Year 1</t>
  </si>
  <si>
    <t>Annual change in VC after year 1</t>
  </si>
  <si>
    <t>Fixed Cost (FC), year 1</t>
  </si>
  <si>
    <t>Annual change in FC, after year 1</t>
  </si>
  <si>
    <t>Project WACC</t>
  </si>
  <si>
    <t>Tax Rate</t>
  </si>
  <si>
    <t>Working Capital as % of next year's sales</t>
  </si>
  <si>
    <t>Variables</t>
  </si>
  <si>
    <t>Year:</t>
  </si>
  <si>
    <t>Unit Sales</t>
  </si>
  <si>
    <t>Sales Price per Unit</t>
  </si>
  <si>
    <t>Variable Cost per Unit</t>
  </si>
  <si>
    <t>Fixed Costs</t>
  </si>
  <si>
    <t>Cash Flows At End of Year</t>
  </si>
  <si>
    <t>Investment:</t>
  </si>
  <si>
    <t>Equipment</t>
  </si>
  <si>
    <t>Initial Working Capital</t>
  </si>
  <si>
    <t>Project Cash Flows:</t>
  </si>
  <si>
    <t>Sales Revenues</t>
  </si>
  <si>
    <t>Variable Costs</t>
  </si>
  <si>
    <t>Depreciation</t>
  </si>
  <si>
    <t>EBIT</t>
  </si>
  <si>
    <t>Tax (20%)</t>
  </si>
  <si>
    <t>Net After Taxes</t>
  </si>
  <si>
    <t>Tax on Salvage Value</t>
  </si>
  <si>
    <t>Change in WC</t>
  </si>
  <si>
    <t>Net Project Cash Flows</t>
  </si>
  <si>
    <t>WACC:</t>
  </si>
  <si>
    <t>PV</t>
  </si>
  <si>
    <t>DCF</t>
  </si>
  <si>
    <t>NPV</t>
  </si>
  <si>
    <t>IRR</t>
  </si>
  <si>
    <t>Profitability Index</t>
  </si>
  <si>
    <t>Payback</t>
  </si>
  <si>
    <t>Scenario Analysis</t>
  </si>
  <si>
    <t>Base</t>
  </si>
  <si>
    <t>Probability of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</si>
</sst>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indexed="2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6" fontId="0" fillId="0" borderId="0" xfId="0" applyNumberFormat="1"/>
    <xf numFmtId="8" fontId="0" fillId="0" borderId="0" xfId="0" applyNumberFormat="1"/>
    <xf numFmtId="10" fontId="0" fillId="0" borderId="0" xfId="0" applyNumberFormat="1"/>
    <xf numFmtId="9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Fill="1"/>
    <xf numFmtId="164" fontId="0" fillId="0" borderId="0" xfId="0" applyNumberFormat="1" applyFill="1"/>
    <xf numFmtId="44" fontId="0" fillId="0" borderId="0" xfId="0" applyNumberFormat="1" applyFill="1"/>
    <xf numFmtId="165" fontId="0" fillId="0" borderId="0" xfId="0" applyNumberFormat="1" applyFill="1"/>
    <xf numFmtId="0" fontId="0" fillId="0" borderId="1" xfId="0" applyFill="1" applyBorder="1" applyAlignment="1">
      <alignment horizontal="centerContinuous"/>
    </xf>
    <xf numFmtId="165" fontId="0" fillId="0" borderId="0" xfId="2" applyNumberFormat="1" applyFont="1" applyFill="1"/>
    <xf numFmtId="0" fontId="0" fillId="0" borderId="0" xfId="0" applyFill="1" applyBorder="1"/>
    <xf numFmtId="6" fontId="3" fillId="0" borderId="0" xfId="0" applyNumberFormat="1" applyFont="1"/>
    <xf numFmtId="165" fontId="0" fillId="0" borderId="1" xfId="2" applyNumberFormat="1" applyFont="1" applyFill="1" applyBorder="1"/>
    <xf numFmtId="165" fontId="0" fillId="0" borderId="1" xfId="0" applyNumberFormat="1" applyFill="1" applyBorder="1"/>
    <xf numFmtId="0" fontId="0" fillId="0" borderId="2" xfId="0" applyFill="1" applyBorder="1"/>
    <xf numFmtId="165" fontId="0" fillId="0" borderId="2" xfId="2" applyNumberFormat="1" applyFont="1" applyFill="1" applyBorder="1"/>
    <xf numFmtId="165" fontId="0" fillId="0" borderId="2" xfId="0" applyNumberFormat="1" applyFill="1" applyBorder="1"/>
    <xf numFmtId="0" fontId="4" fillId="0" borderId="0" xfId="0" applyFont="1"/>
    <xf numFmtId="10" fontId="4" fillId="0" borderId="0" xfId="3" applyNumberFormat="1" applyFont="1" applyFill="1"/>
    <xf numFmtId="0" fontId="0" fillId="0" borderId="3" xfId="0" applyBorder="1"/>
    <xf numFmtId="0" fontId="0" fillId="0" borderId="4" xfId="0" applyFill="1" applyBorder="1"/>
    <xf numFmtId="6" fontId="0" fillId="0" borderId="5" xfId="0" applyNumberFormat="1" applyFill="1" applyBorder="1"/>
    <xf numFmtId="6" fontId="0" fillId="0" borderId="4" xfId="0" applyNumberFormat="1" applyFill="1" applyBorder="1"/>
    <xf numFmtId="6" fontId="0" fillId="0" borderId="6" xfId="0" applyNumberFormat="1" applyFill="1" applyBorder="1"/>
    <xf numFmtId="0" fontId="1" fillId="0" borderId="7" xfId="0" applyFont="1" applyBorder="1"/>
    <xf numFmtId="0" fontId="1" fillId="0" borderId="0" xfId="0" applyFont="1" applyFill="1" applyBorder="1"/>
    <xf numFmtId="165" fontId="1" fillId="2" borderId="0" xfId="0" applyNumberFormat="1" applyFont="1" applyFill="1" applyBorder="1"/>
    <xf numFmtId="0" fontId="0" fillId="0" borderId="8" xfId="0" applyFill="1" applyBorder="1"/>
    <xf numFmtId="0" fontId="0" fillId="0" borderId="7" xfId="0" applyBorder="1"/>
    <xf numFmtId="10" fontId="1" fillId="2" borderId="0" xfId="0" applyNumberFormat="1" applyFont="1" applyFill="1" applyBorder="1"/>
    <xf numFmtId="10" fontId="0" fillId="0" borderId="0" xfId="0" applyNumberFormat="1" applyFill="1" applyBorder="1"/>
    <xf numFmtId="43" fontId="1" fillId="2" borderId="0" xfId="1" applyNumberFormat="1" applyFont="1" applyFill="1" applyBorder="1"/>
    <xf numFmtId="165" fontId="0" fillId="0" borderId="0" xfId="0" applyNumberFormat="1" applyFill="1" applyBorder="1"/>
    <xf numFmtId="165" fontId="0" fillId="0" borderId="8" xfId="0" applyNumberFormat="1" applyFill="1" applyBorder="1"/>
    <xf numFmtId="0" fontId="0" fillId="0" borderId="9" xfId="0" applyBorder="1"/>
    <xf numFmtId="0" fontId="0" fillId="0" borderId="1" xfId="0" applyFill="1" applyBorder="1"/>
    <xf numFmtId="43" fontId="1" fillId="2" borderId="1" xfId="1" applyNumberFormat="1" applyFont="1" applyFill="1" applyBorder="1"/>
    <xf numFmtId="43" fontId="0" fillId="0" borderId="1" xfId="1" applyFont="1" applyFill="1" applyBorder="1"/>
    <xf numFmtId="0" fontId="0" fillId="0" borderId="10" xfId="0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6" xfId="0" applyFill="1" applyBorder="1"/>
    <xf numFmtId="0" fontId="0" fillId="3" borderId="7" xfId="0" applyFill="1" applyBorder="1"/>
    <xf numFmtId="0" fontId="0" fillId="3" borderId="0" xfId="0" applyFill="1" applyBorder="1"/>
    <xf numFmtId="9" fontId="0" fillId="3" borderId="0" xfId="0" applyNumberFormat="1" applyFill="1" applyBorder="1"/>
    <xf numFmtId="0" fontId="0" fillId="0" borderId="0" xfId="0" applyBorder="1"/>
    <xf numFmtId="165" fontId="0" fillId="0" borderId="0" xfId="0" applyNumberFormat="1" applyBorder="1"/>
    <xf numFmtId="0" fontId="0" fillId="0" borderId="8" xfId="0" applyBorder="1"/>
    <xf numFmtId="165" fontId="0" fillId="0" borderId="1" xfId="0" applyNumberFormat="1" applyBorder="1"/>
    <xf numFmtId="165" fontId="0" fillId="2" borderId="10" xfId="0" applyNumberFormat="1" applyFill="1" applyBorder="1"/>
    <xf numFmtId="10" fontId="0" fillId="0" borderId="0" xfId="3" applyNumberFormat="1" applyFont="1" applyBorder="1"/>
    <xf numFmtId="10" fontId="0" fillId="0" borderId="1" xfId="3" applyNumberFormat="1" applyFont="1" applyBorder="1"/>
    <xf numFmtId="10" fontId="0" fillId="2" borderId="10" xfId="3" applyNumberFormat="1" applyFont="1" applyFill="1" applyBorder="1"/>
    <xf numFmtId="165" fontId="5" fillId="0" borderId="0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14" sqref="D14"/>
    </sheetView>
  </sheetViews>
  <sheetFormatPr baseColWidth="10" defaultColWidth="8.83203125" defaultRowHeight="14" x14ac:dyDescent="0"/>
  <cols>
    <col min="1" max="1" width="34.5" customWidth="1"/>
    <col min="2" max="2" width="2.5" customWidth="1"/>
    <col min="3" max="3" width="4.5" customWidth="1"/>
    <col min="4" max="4" width="25.6640625" customWidth="1"/>
  </cols>
  <sheetData>
    <row r="1" spans="1:4">
      <c r="A1" s="1" t="s">
        <v>0</v>
      </c>
      <c r="D1" s="1" t="s">
        <v>1</v>
      </c>
    </row>
    <row r="2" spans="1:4">
      <c r="A2" t="s">
        <v>2</v>
      </c>
      <c r="D2" s="2">
        <v>1000000</v>
      </c>
    </row>
    <row r="3" spans="1:4">
      <c r="A3" t="s">
        <v>3</v>
      </c>
      <c r="D3" t="s">
        <v>4</v>
      </c>
    </row>
    <row r="4" spans="1:4">
      <c r="A4" t="s">
        <v>5</v>
      </c>
      <c r="D4" s="3">
        <v>100000</v>
      </c>
    </row>
    <row r="5" spans="1:4">
      <c r="A5" t="s">
        <v>6</v>
      </c>
      <c r="D5" s="3">
        <v>25000</v>
      </c>
    </row>
    <row r="6" spans="1:4">
      <c r="A6" t="s">
        <v>7</v>
      </c>
      <c r="D6" s="3">
        <v>12.5</v>
      </c>
    </row>
    <row r="7" spans="1:4">
      <c r="A7" t="s">
        <v>8</v>
      </c>
      <c r="D7" s="4">
        <v>2.5000000000000001E-2</v>
      </c>
    </row>
    <row r="8" spans="1:4">
      <c r="A8" t="s">
        <v>9</v>
      </c>
      <c r="D8" s="3">
        <v>6.25</v>
      </c>
    </row>
    <row r="9" spans="1:4">
      <c r="A9" t="s">
        <v>10</v>
      </c>
      <c r="D9" s="4">
        <v>0.02</v>
      </c>
    </row>
    <row r="10" spans="1:4">
      <c r="A10" t="s">
        <v>11</v>
      </c>
      <c r="D10" s="2">
        <v>50000</v>
      </c>
    </row>
    <row r="11" spans="1:4">
      <c r="A11" t="s">
        <v>12</v>
      </c>
      <c r="D11" s="4">
        <v>0.01</v>
      </c>
    </row>
    <row r="12" spans="1:4">
      <c r="A12" t="s">
        <v>13</v>
      </c>
      <c r="D12" s="4">
        <v>7.6700000000000004E-2</v>
      </c>
    </row>
    <row r="13" spans="1:4">
      <c r="A13" t="s">
        <v>14</v>
      </c>
      <c r="D13" s="5">
        <v>0.2</v>
      </c>
    </row>
    <row r="14" spans="1:4">
      <c r="A14" t="s">
        <v>15</v>
      </c>
      <c r="D14" s="5">
        <v>0.13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E20" sqref="E20"/>
    </sheetView>
  </sheetViews>
  <sheetFormatPr baseColWidth="10" defaultColWidth="8.83203125" defaultRowHeight="14" x14ac:dyDescent="0"/>
  <cols>
    <col min="1" max="1" width="21.5" bestFit="1" customWidth="1"/>
    <col min="2" max="2" width="6.5" bestFit="1" customWidth="1"/>
    <col min="3" max="3" width="12.83203125" bestFit="1" customWidth="1"/>
    <col min="4" max="4" width="11.1640625" bestFit="1" customWidth="1"/>
    <col min="5" max="5" width="11" bestFit="1" customWidth="1"/>
    <col min="6" max="6" width="13.33203125" bestFit="1" customWidth="1"/>
    <col min="7" max="13" width="11" bestFit="1" customWidth="1"/>
    <col min="14" max="14" width="12.5" style="8" bestFit="1" customWidth="1"/>
  </cols>
  <sheetData>
    <row r="1" spans="1:14">
      <c r="A1" s="6" t="s">
        <v>16</v>
      </c>
      <c r="B1" t="s">
        <v>17</v>
      </c>
      <c r="C1" s="7">
        <v>0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</row>
    <row r="3" spans="1:14">
      <c r="A3" t="s">
        <v>18</v>
      </c>
      <c r="B3" s="9"/>
      <c r="C3" s="9"/>
      <c r="D3" s="10">
        <v>25000</v>
      </c>
      <c r="E3" s="10">
        <f>D3</f>
        <v>25000</v>
      </c>
      <c r="F3" s="10">
        <f t="shared" ref="F3:M3" si="0">E3</f>
        <v>25000</v>
      </c>
      <c r="G3" s="10">
        <f t="shared" si="0"/>
        <v>25000</v>
      </c>
      <c r="H3" s="10">
        <f t="shared" si="0"/>
        <v>25000</v>
      </c>
      <c r="I3" s="10">
        <f t="shared" si="0"/>
        <v>25000</v>
      </c>
      <c r="J3" s="10">
        <f t="shared" si="0"/>
        <v>25000</v>
      </c>
      <c r="K3" s="10">
        <f t="shared" si="0"/>
        <v>25000</v>
      </c>
      <c r="L3" s="10">
        <f t="shared" si="0"/>
        <v>25000</v>
      </c>
      <c r="M3" s="10">
        <f t="shared" si="0"/>
        <v>25000</v>
      </c>
    </row>
    <row r="4" spans="1:14">
      <c r="A4" t="s">
        <v>19</v>
      </c>
      <c r="B4" s="9"/>
      <c r="C4" s="9"/>
      <c r="D4" s="11">
        <f>12.5</f>
        <v>12.5</v>
      </c>
      <c r="E4" s="11">
        <f>D4*1.025</f>
        <v>12.812499999999998</v>
      </c>
      <c r="F4" s="11">
        <f t="shared" ref="F4:M4" si="1">E4*1.025</f>
        <v>13.132812499999996</v>
      </c>
      <c r="G4" s="11">
        <f t="shared" si="1"/>
        <v>13.461132812499995</v>
      </c>
      <c r="H4" s="11">
        <f t="shared" si="1"/>
        <v>13.797661132812495</v>
      </c>
      <c r="I4" s="11">
        <f t="shared" si="1"/>
        <v>14.142602661132806</v>
      </c>
      <c r="J4" s="11">
        <f t="shared" si="1"/>
        <v>14.496167727661124</v>
      </c>
      <c r="K4" s="11">
        <f t="shared" si="1"/>
        <v>14.858571920852651</v>
      </c>
      <c r="L4" s="11">
        <f t="shared" si="1"/>
        <v>15.230036218873966</v>
      </c>
      <c r="M4" s="11">
        <f t="shared" si="1"/>
        <v>15.610787124345814</v>
      </c>
    </row>
    <row r="5" spans="1:14">
      <c r="A5" t="s">
        <v>20</v>
      </c>
      <c r="B5" s="9"/>
      <c r="C5" s="9"/>
      <c r="D5" s="11">
        <f>6.25</f>
        <v>6.25</v>
      </c>
      <c r="E5" s="11">
        <f t="shared" ref="E5:M5" si="2">D5*1.02</f>
        <v>6.375</v>
      </c>
      <c r="F5" s="11">
        <f t="shared" si="2"/>
        <v>6.5025000000000004</v>
      </c>
      <c r="G5" s="11">
        <f t="shared" si="2"/>
        <v>6.6325500000000002</v>
      </c>
      <c r="H5" s="11">
        <f t="shared" si="2"/>
        <v>6.7652010000000002</v>
      </c>
      <c r="I5" s="11">
        <f t="shared" si="2"/>
        <v>6.9005050200000007</v>
      </c>
      <c r="J5" s="11">
        <f t="shared" si="2"/>
        <v>7.0385151204000005</v>
      </c>
      <c r="K5" s="11">
        <f t="shared" si="2"/>
        <v>7.1792854228080003</v>
      </c>
      <c r="L5" s="11">
        <f t="shared" si="2"/>
        <v>7.3228711312641606</v>
      </c>
      <c r="M5" s="11">
        <f t="shared" si="2"/>
        <v>7.4693285538894436</v>
      </c>
    </row>
    <row r="6" spans="1:14">
      <c r="A6" t="s">
        <v>21</v>
      </c>
      <c r="B6" s="9"/>
      <c r="C6" s="9"/>
      <c r="D6" s="12">
        <v>50000</v>
      </c>
      <c r="E6" s="12">
        <f>D6*1.01</f>
        <v>50500</v>
      </c>
      <c r="F6" s="12">
        <f t="shared" ref="F6:M6" si="3">E6*1.01</f>
        <v>51005</v>
      </c>
      <c r="G6" s="12">
        <f t="shared" si="3"/>
        <v>51515.05</v>
      </c>
      <c r="H6" s="12">
        <f t="shared" si="3"/>
        <v>52030.200500000006</v>
      </c>
      <c r="I6" s="12">
        <f t="shared" si="3"/>
        <v>52550.502505000004</v>
      </c>
      <c r="J6" s="12">
        <f t="shared" si="3"/>
        <v>53076.007530050003</v>
      </c>
      <c r="K6" s="12">
        <f t="shared" si="3"/>
        <v>53606.767605350506</v>
      </c>
      <c r="L6" s="12">
        <f t="shared" si="3"/>
        <v>54142.835281404012</v>
      </c>
      <c r="M6" s="12">
        <f t="shared" si="3"/>
        <v>54684.263634218056</v>
      </c>
    </row>
    <row r="7" spans="1:14">
      <c r="B7" s="9"/>
      <c r="C7" s="13" t="s">
        <v>22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4">
      <c r="B8" s="9" t="s">
        <v>17</v>
      </c>
      <c r="C8" s="7">
        <v>0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</row>
    <row r="9" spans="1:14">
      <c r="A9" s="6" t="s">
        <v>23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4">
      <c r="A10" t="s">
        <v>24</v>
      </c>
      <c r="B10" s="9"/>
      <c r="C10" s="14">
        <v>-1000000</v>
      </c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4">
      <c r="A11" t="s">
        <v>25</v>
      </c>
      <c r="B11" s="9"/>
      <c r="C11" s="14">
        <f>((D3*D4)*0.13)*-1</f>
        <v>-40625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4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4">
      <c r="A13" s="6" t="s">
        <v>26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4">
      <c r="A14" s="15" t="s">
        <v>27</v>
      </c>
      <c r="B14" s="9"/>
      <c r="C14" s="9"/>
      <c r="D14" s="14">
        <f>D3*D4</f>
        <v>312500</v>
      </c>
      <c r="E14" s="14">
        <f t="shared" ref="E14:M14" si="4">E3*E4</f>
        <v>320312.49999999994</v>
      </c>
      <c r="F14" s="14">
        <f t="shared" si="4"/>
        <v>328320.31249999988</v>
      </c>
      <c r="G14" s="14">
        <f t="shared" si="4"/>
        <v>336528.32031249988</v>
      </c>
      <c r="H14" s="14">
        <f t="shared" si="4"/>
        <v>344941.52832031238</v>
      </c>
      <c r="I14" s="14">
        <f t="shared" si="4"/>
        <v>353565.06652832014</v>
      </c>
      <c r="J14" s="14">
        <f t="shared" si="4"/>
        <v>362404.19319152809</v>
      </c>
      <c r="K14" s="14">
        <f t="shared" si="4"/>
        <v>371464.29802131624</v>
      </c>
      <c r="L14" s="14">
        <f t="shared" si="4"/>
        <v>380750.90547184914</v>
      </c>
      <c r="M14" s="14">
        <f t="shared" si="4"/>
        <v>390269.67810864537</v>
      </c>
      <c r="N14" s="16">
        <f>SUM(D14:M14)</f>
        <v>3501056.8024544707</v>
      </c>
    </row>
    <row r="15" spans="1:14">
      <c r="A15" s="15" t="s">
        <v>28</v>
      </c>
      <c r="B15" s="9"/>
      <c r="C15" s="9"/>
      <c r="D15" s="14">
        <f>D3*D5</f>
        <v>156250</v>
      </c>
      <c r="E15" s="14">
        <f t="shared" ref="E15:M15" si="5">E3*E5</f>
        <v>159375</v>
      </c>
      <c r="F15" s="14">
        <f t="shared" si="5"/>
        <v>162562.5</v>
      </c>
      <c r="G15" s="14">
        <f t="shared" si="5"/>
        <v>165813.75</v>
      </c>
      <c r="H15" s="14">
        <f t="shared" si="5"/>
        <v>169130.02499999999</v>
      </c>
      <c r="I15" s="14">
        <f t="shared" si="5"/>
        <v>172512.62550000002</v>
      </c>
      <c r="J15" s="14">
        <f t="shared" si="5"/>
        <v>175962.87801000001</v>
      </c>
      <c r="K15" s="14">
        <f t="shared" si="5"/>
        <v>179482.13557020001</v>
      </c>
      <c r="L15" s="14">
        <f t="shared" si="5"/>
        <v>183071.77828160403</v>
      </c>
      <c r="M15" s="14">
        <f t="shared" si="5"/>
        <v>186733.2138472361</v>
      </c>
    </row>
    <row r="16" spans="1:14">
      <c r="A16" s="15" t="s">
        <v>21</v>
      </c>
      <c r="B16" s="9"/>
      <c r="C16" s="9"/>
      <c r="D16" s="12">
        <f>D6</f>
        <v>50000</v>
      </c>
      <c r="E16" s="12">
        <f t="shared" ref="E16:M16" si="6">E6</f>
        <v>50500</v>
      </c>
      <c r="F16" s="12">
        <f t="shared" si="6"/>
        <v>51005</v>
      </c>
      <c r="G16" s="12">
        <f t="shared" si="6"/>
        <v>51515.05</v>
      </c>
      <c r="H16" s="12">
        <f t="shared" si="6"/>
        <v>52030.200500000006</v>
      </c>
      <c r="I16" s="12">
        <f t="shared" si="6"/>
        <v>52550.502505000004</v>
      </c>
      <c r="J16" s="12">
        <f t="shared" si="6"/>
        <v>53076.007530050003</v>
      </c>
      <c r="K16" s="12">
        <f t="shared" si="6"/>
        <v>53606.767605350506</v>
      </c>
      <c r="L16" s="12">
        <f t="shared" si="6"/>
        <v>54142.835281404012</v>
      </c>
      <c r="M16" s="12">
        <f t="shared" si="6"/>
        <v>54684.263634218056</v>
      </c>
    </row>
    <row r="17" spans="1:14">
      <c r="A17" s="15" t="s">
        <v>29</v>
      </c>
      <c r="B17" s="9"/>
      <c r="C17" s="9"/>
      <c r="D17" s="17">
        <v>100000</v>
      </c>
      <c r="E17" s="17">
        <v>100000</v>
      </c>
      <c r="F17" s="17">
        <v>100000</v>
      </c>
      <c r="G17" s="17">
        <v>100000</v>
      </c>
      <c r="H17" s="17">
        <v>100000</v>
      </c>
      <c r="I17" s="17">
        <v>100000</v>
      </c>
      <c r="J17" s="17">
        <v>100000</v>
      </c>
      <c r="K17" s="17">
        <v>100000</v>
      </c>
      <c r="L17" s="17">
        <v>100000</v>
      </c>
      <c r="M17" s="17">
        <v>100000</v>
      </c>
      <c r="N17" s="16">
        <f>SUM(D17:M17)</f>
        <v>1000000</v>
      </c>
    </row>
    <row r="18" spans="1:14">
      <c r="A18" s="15" t="s">
        <v>30</v>
      </c>
      <c r="B18" s="9"/>
      <c r="C18" s="9"/>
      <c r="D18" s="12">
        <f>D14-D15-D16-D17</f>
        <v>6250</v>
      </c>
      <c r="E18" s="12">
        <f t="shared" ref="E18:M18" si="7">E14-E15-E16-E17</f>
        <v>10437.499999999942</v>
      </c>
      <c r="F18" s="12">
        <f t="shared" si="7"/>
        <v>14752.812499999884</v>
      </c>
      <c r="G18" s="12">
        <f t="shared" si="7"/>
        <v>19199.520312499881</v>
      </c>
      <c r="H18" s="12">
        <f t="shared" si="7"/>
        <v>23781.302820312383</v>
      </c>
      <c r="I18" s="12">
        <f t="shared" si="7"/>
        <v>28501.938523320103</v>
      </c>
      <c r="J18" s="12">
        <f t="shared" si="7"/>
        <v>33365.30765147807</v>
      </c>
      <c r="K18" s="12">
        <f t="shared" si="7"/>
        <v>38375.394845765724</v>
      </c>
      <c r="L18" s="12">
        <f t="shared" si="7"/>
        <v>43536.291908841114</v>
      </c>
      <c r="M18" s="12">
        <f t="shared" si="7"/>
        <v>48852.200627191225</v>
      </c>
    </row>
    <row r="19" spans="1:14">
      <c r="A19" s="15" t="s">
        <v>31</v>
      </c>
      <c r="B19" s="9"/>
      <c r="C19" s="9"/>
      <c r="D19" s="18">
        <f>D18*0.2</f>
        <v>1250</v>
      </c>
      <c r="E19" s="18">
        <f t="shared" ref="E19:M19" si="8">E18*0.2</f>
        <v>2087.4999999999886</v>
      </c>
      <c r="F19" s="18">
        <f t="shared" si="8"/>
        <v>2950.5624999999768</v>
      </c>
      <c r="G19" s="18">
        <f t="shared" si="8"/>
        <v>3839.9040624999761</v>
      </c>
      <c r="H19" s="18">
        <f t="shared" si="8"/>
        <v>4756.260564062477</v>
      </c>
      <c r="I19" s="18">
        <f t="shared" si="8"/>
        <v>5700.3877046640209</v>
      </c>
      <c r="J19" s="18">
        <f t="shared" si="8"/>
        <v>6673.0615302956139</v>
      </c>
      <c r="K19" s="18">
        <f t="shared" si="8"/>
        <v>7675.0789691531454</v>
      </c>
      <c r="L19" s="18">
        <f t="shared" si="8"/>
        <v>8707.2583817682225</v>
      </c>
      <c r="M19" s="18">
        <f t="shared" si="8"/>
        <v>9770.4401254382446</v>
      </c>
    </row>
    <row r="20" spans="1:14">
      <c r="A20" s="15" t="s">
        <v>32</v>
      </c>
      <c r="B20" s="9"/>
      <c r="C20" s="9"/>
      <c r="D20" s="12">
        <f>D18-D19</f>
        <v>5000</v>
      </c>
      <c r="E20" s="12">
        <f t="shared" ref="E20:M20" si="9">E18-E19</f>
        <v>8349.9999999999527</v>
      </c>
      <c r="F20" s="12">
        <f t="shared" si="9"/>
        <v>11802.249999999907</v>
      </c>
      <c r="G20" s="12">
        <f t="shared" si="9"/>
        <v>15359.616249999905</v>
      </c>
      <c r="H20" s="12">
        <f t="shared" si="9"/>
        <v>19025.042256249908</v>
      </c>
      <c r="I20" s="12">
        <f t="shared" si="9"/>
        <v>22801.550818656084</v>
      </c>
      <c r="J20" s="12">
        <f t="shared" si="9"/>
        <v>26692.246121182456</v>
      </c>
      <c r="K20" s="12">
        <f t="shared" si="9"/>
        <v>30700.315876612578</v>
      </c>
      <c r="L20" s="12">
        <f t="shared" si="9"/>
        <v>34829.03352707289</v>
      </c>
      <c r="M20" s="12">
        <f t="shared" si="9"/>
        <v>39081.760501752979</v>
      </c>
    </row>
    <row r="21" spans="1:14">
      <c r="A21" s="15" t="s">
        <v>29</v>
      </c>
      <c r="B21" s="9"/>
      <c r="C21" s="9"/>
      <c r="D21" s="12">
        <f>D17</f>
        <v>100000</v>
      </c>
      <c r="E21" s="12">
        <f t="shared" ref="E21:M21" si="10">E17</f>
        <v>100000</v>
      </c>
      <c r="F21" s="12">
        <f t="shared" si="10"/>
        <v>100000</v>
      </c>
      <c r="G21" s="12">
        <f t="shared" si="10"/>
        <v>100000</v>
      </c>
      <c r="H21" s="12">
        <f t="shared" si="10"/>
        <v>100000</v>
      </c>
      <c r="I21" s="12">
        <f t="shared" si="10"/>
        <v>100000</v>
      </c>
      <c r="J21" s="12">
        <f t="shared" si="10"/>
        <v>100000</v>
      </c>
      <c r="K21" s="12">
        <f t="shared" si="10"/>
        <v>100000</v>
      </c>
      <c r="L21" s="12">
        <f t="shared" si="10"/>
        <v>100000</v>
      </c>
      <c r="M21" s="12">
        <f t="shared" si="10"/>
        <v>100000</v>
      </c>
    </row>
    <row r="22" spans="1:14">
      <c r="A22" s="15" t="s">
        <v>5</v>
      </c>
      <c r="B22" s="9"/>
      <c r="C22" s="9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f>100000</f>
        <v>100000</v>
      </c>
    </row>
    <row r="23" spans="1:14">
      <c r="A23" s="15" t="s">
        <v>33</v>
      </c>
      <c r="B23" s="9"/>
      <c r="C23" s="9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f>(M22*0.2)*-1</f>
        <v>-20000</v>
      </c>
    </row>
    <row r="24" spans="1:14" ht="15" thickBot="1">
      <c r="A24" s="15" t="s">
        <v>34</v>
      </c>
      <c r="B24" s="9"/>
      <c r="C24" s="19"/>
      <c r="D24" s="20">
        <f>((E14-D14)*0.13)*-1</f>
        <v>-1015.6249999999925</v>
      </c>
      <c r="E24" s="20">
        <f t="shared" ref="E24:L24" si="11">((F14-E14)*0.13)*-1</f>
        <v>-1041.0156249999925</v>
      </c>
      <c r="F24" s="20">
        <f t="shared" si="11"/>
        <v>-1067.041015625</v>
      </c>
      <c r="G24" s="20">
        <f t="shared" si="11"/>
        <v>-1093.717041015625</v>
      </c>
      <c r="H24" s="20">
        <f t="shared" si="11"/>
        <v>-1121.0599670410081</v>
      </c>
      <c r="I24" s="20">
        <f t="shared" si="11"/>
        <v>-1149.0864662170334</v>
      </c>
      <c r="J24" s="20">
        <f t="shared" si="11"/>
        <v>-1177.8136278724596</v>
      </c>
      <c r="K24" s="20">
        <f t="shared" si="11"/>
        <v>-1207.2589685692772</v>
      </c>
      <c r="L24" s="20">
        <f t="shared" si="11"/>
        <v>-1237.4404427835102</v>
      </c>
      <c r="M24" s="21">
        <f>M14*0.13</f>
        <v>50735.058154123901</v>
      </c>
      <c r="N24" s="16"/>
    </row>
    <row r="25" spans="1:14" ht="15" thickTop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4">
      <c r="A26" t="s">
        <v>35</v>
      </c>
      <c r="B26" s="9"/>
      <c r="C26" s="12">
        <f>C10+C11</f>
        <v>-1040625</v>
      </c>
      <c r="D26" s="12">
        <f>D20+D21+D24</f>
        <v>103984.37500000001</v>
      </c>
      <c r="E26" s="12">
        <f t="shared" ref="E26:F26" si="12">E20+E21+E24</f>
        <v>107308.98437499997</v>
      </c>
      <c r="F26" s="12">
        <f t="shared" si="12"/>
        <v>110735.20898437491</v>
      </c>
      <c r="G26" s="12">
        <f>G20+G21+G22+G23+G24</f>
        <v>114265.89920898428</v>
      </c>
      <c r="H26" s="12">
        <f t="shared" ref="H26:M26" si="13">H20+H21+H22+H23+H24</f>
        <v>117903.9822892089</v>
      </c>
      <c r="I26" s="12">
        <f t="shared" si="13"/>
        <v>121652.46435243904</v>
      </c>
      <c r="J26" s="12">
        <f t="shared" si="13"/>
        <v>125514.43249331</v>
      </c>
      <c r="K26" s="12">
        <f t="shared" si="13"/>
        <v>129493.05690804331</v>
      </c>
      <c r="L26" s="12">
        <f t="shared" si="13"/>
        <v>133591.5930842894</v>
      </c>
      <c r="M26" s="12">
        <f t="shared" si="13"/>
        <v>269816.81865587691</v>
      </c>
      <c r="N26" s="16">
        <f>SUM(D26:M26)</f>
        <v>1334266.8153515267</v>
      </c>
    </row>
    <row r="27" spans="1:14">
      <c r="A27" s="22" t="s">
        <v>36</v>
      </c>
      <c r="B27" s="23">
        <f>7.67%</f>
        <v>7.6700000000000004E-2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4">
      <c r="A28" s="24" t="s">
        <v>37</v>
      </c>
      <c r="B28" s="25" t="s">
        <v>38</v>
      </c>
      <c r="C28" s="26">
        <f>NPV(B27,D26:M26)</f>
        <v>866517.70853094396</v>
      </c>
      <c r="D28" s="27">
        <f>PV($B$27,D8,,-D26)</f>
        <v>96576.924863007356</v>
      </c>
      <c r="E28" s="27">
        <f t="shared" ref="E28:M28" si="14">PV($B$27,E8,,-E26)</f>
        <v>92564.968654889715</v>
      </c>
      <c r="F28" s="27">
        <f t="shared" si="14"/>
        <v>88715.926093939997</v>
      </c>
      <c r="G28" s="27">
        <f t="shared" si="14"/>
        <v>85023.267157776456</v>
      </c>
      <c r="H28" s="27">
        <f t="shared" si="14"/>
        <v>81480.729514458566</v>
      </c>
      <c r="I28" s="27">
        <f t="shared" si="14"/>
        <v>78082.306330563631</v>
      </c>
      <c r="J28" s="27">
        <f t="shared" si="14"/>
        <v>74822.234765349567</v>
      </c>
      <c r="K28" s="27">
        <f t="shared" si="14"/>
        <v>71694.985102447114</v>
      </c>
      <c r="L28" s="27">
        <f t="shared" si="14"/>
        <v>68695.25047445533</v>
      </c>
      <c r="M28" s="28">
        <f t="shared" si="14"/>
        <v>128861.11557405633</v>
      </c>
      <c r="N28" s="16">
        <f>SUM(D28:M28)</f>
        <v>866517.70853094396</v>
      </c>
    </row>
    <row r="29" spans="1:14">
      <c r="A29" s="29" t="s">
        <v>39</v>
      </c>
      <c r="B29" s="30"/>
      <c r="C29" s="31">
        <f>C26+C28</f>
        <v>-174107.29146905604</v>
      </c>
      <c r="D29" s="15"/>
      <c r="E29" s="15"/>
      <c r="F29" s="15"/>
      <c r="G29" s="15"/>
      <c r="H29" s="15"/>
      <c r="I29" s="15"/>
      <c r="J29" s="15"/>
      <c r="K29" s="15"/>
      <c r="L29" s="15"/>
      <c r="M29" s="32"/>
    </row>
    <row r="30" spans="1:14">
      <c r="A30" s="3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32"/>
    </row>
    <row r="31" spans="1:14">
      <c r="A31" s="29" t="s">
        <v>40</v>
      </c>
      <c r="B31" s="30"/>
      <c r="C31" s="34">
        <f>IRR(C26:M26)</f>
        <v>4.2374659243036961E-2</v>
      </c>
      <c r="D31" s="35"/>
      <c r="E31" s="15"/>
      <c r="F31" s="15"/>
      <c r="G31" s="15"/>
      <c r="H31" s="15"/>
      <c r="I31" s="15"/>
      <c r="J31" s="15"/>
      <c r="K31" s="15"/>
      <c r="L31" s="15"/>
      <c r="M31" s="32"/>
    </row>
    <row r="32" spans="1:14">
      <c r="A32" s="29"/>
      <c r="B32" s="30"/>
      <c r="C32" s="30"/>
      <c r="D32" s="15"/>
      <c r="E32" s="15"/>
      <c r="F32" s="15"/>
      <c r="G32" s="15"/>
      <c r="H32" s="15"/>
      <c r="I32" s="15"/>
      <c r="J32" s="15"/>
      <c r="K32" s="15"/>
      <c r="L32" s="15"/>
      <c r="M32" s="32"/>
    </row>
    <row r="33" spans="1:13" customFormat="1">
      <c r="A33" s="29" t="s">
        <v>41</v>
      </c>
      <c r="B33" s="30"/>
      <c r="C33" s="36">
        <f>C28/-C26</f>
        <v>0.8326896898795858</v>
      </c>
      <c r="D33" s="15"/>
      <c r="E33" s="15"/>
      <c r="F33" s="15"/>
      <c r="G33" s="15"/>
      <c r="H33" s="15"/>
      <c r="I33" s="15"/>
      <c r="J33" s="15"/>
      <c r="K33" s="15"/>
      <c r="L33" s="15"/>
      <c r="M33" s="32"/>
    </row>
    <row r="34" spans="1:13" customFormat="1">
      <c r="A34" s="3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32"/>
    </row>
    <row r="35" spans="1:13" customFormat="1">
      <c r="A35" s="29" t="s">
        <v>42</v>
      </c>
      <c r="B35" s="15"/>
      <c r="C35" s="37">
        <f>C26</f>
        <v>-1040625</v>
      </c>
      <c r="D35" s="37">
        <f>C26+D26</f>
        <v>-936640.625</v>
      </c>
      <c r="E35" s="37">
        <f>D35+E26</f>
        <v>-829331.640625</v>
      </c>
      <c r="F35" s="37">
        <f t="shared" ref="F35:M35" si="15">E35+F26</f>
        <v>-718596.43164062512</v>
      </c>
      <c r="G35" s="37">
        <f t="shared" si="15"/>
        <v>-604330.5324316409</v>
      </c>
      <c r="H35" s="37">
        <f t="shared" si="15"/>
        <v>-486426.55014243198</v>
      </c>
      <c r="I35" s="37">
        <f t="shared" si="15"/>
        <v>-364774.08578999294</v>
      </c>
      <c r="J35" s="37">
        <f t="shared" si="15"/>
        <v>-239259.65329668293</v>
      </c>
      <c r="K35" s="37">
        <f t="shared" si="15"/>
        <v>-109766.59638863962</v>
      </c>
      <c r="L35" s="37">
        <f t="shared" si="15"/>
        <v>23824.996695649781</v>
      </c>
      <c r="M35" s="38">
        <f t="shared" si="15"/>
        <v>293641.81535152672</v>
      </c>
    </row>
    <row r="36" spans="1:13" customFormat="1">
      <c r="A36" s="39"/>
      <c r="B36" s="40"/>
      <c r="C36" s="41">
        <f>PERCENTRANK(C35:M35,0.6)*M1</f>
        <v>8.82</v>
      </c>
      <c r="D36" s="40"/>
      <c r="E36" s="40"/>
      <c r="F36" s="40"/>
      <c r="G36" s="40"/>
      <c r="H36" s="40"/>
      <c r="I36" s="40"/>
      <c r="J36" s="40"/>
      <c r="K36" s="40"/>
      <c r="L36" s="42">
        <f>-K35/L26</f>
        <v>0.82165796405603575</v>
      </c>
      <c r="M36" s="43"/>
    </row>
    <row r="37" spans="1:13" customForma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9" spans="1:13" customFormat="1">
      <c r="A39" s="44" t="s">
        <v>43</v>
      </c>
      <c r="B39" s="45"/>
      <c r="C39" s="46" t="s">
        <v>44</v>
      </c>
      <c r="D39" s="46"/>
      <c r="E39" s="46"/>
      <c r="F39" s="47"/>
    </row>
    <row r="40" spans="1:13" customFormat="1">
      <c r="A40" s="48" t="s">
        <v>45</v>
      </c>
      <c r="B40" s="49"/>
      <c r="C40" s="50">
        <v>0.55000000000000004</v>
      </c>
      <c r="D40" s="50"/>
      <c r="E40" s="50"/>
      <c r="F40" s="32"/>
    </row>
    <row r="41" spans="1:13" customFormat="1">
      <c r="A41" s="29" t="s">
        <v>39</v>
      </c>
      <c r="B41" s="51"/>
      <c r="C41" s="52">
        <v>-174107</v>
      </c>
      <c r="D41" s="59"/>
      <c r="E41" s="52"/>
      <c r="F41" s="53"/>
    </row>
    <row r="42" spans="1:13" customFormat="1">
      <c r="A42" s="39" t="s">
        <v>45</v>
      </c>
      <c r="B42" s="6"/>
      <c r="C42" s="54">
        <f>C41*0.55</f>
        <v>-95758.85</v>
      </c>
      <c r="D42" s="54"/>
      <c r="E42" s="54"/>
      <c r="F42" s="55"/>
    </row>
    <row r="43" spans="1:13" customFormat="1">
      <c r="A43" s="29" t="s">
        <v>40</v>
      </c>
      <c r="B43" s="51"/>
      <c r="C43" s="56">
        <v>4.24E-2</v>
      </c>
      <c r="D43" s="56"/>
      <c r="E43" s="56"/>
      <c r="F43" s="53"/>
    </row>
    <row r="44" spans="1:13" customFormat="1">
      <c r="A44" s="39" t="s">
        <v>45</v>
      </c>
      <c r="B44" s="6"/>
      <c r="C44" s="57">
        <f>C43*C40</f>
        <v>2.332E-2</v>
      </c>
      <c r="D44" s="57"/>
      <c r="E44" s="57"/>
      <c r="F44" s="5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 Dell</dc:creator>
  <cp:lastModifiedBy>mary brooks</cp:lastModifiedBy>
  <dcterms:created xsi:type="dcterms:W3CDTF">2014-02-07T17:54:45Z</dcterms:created>
  <dcterms:modified xsi:type="dcterms:W3CDTF">2014-02-15T01:57:09Z</dcterms:modified>
</cp:coreProperties>
</file>