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1685" windowHeight="6015" activeTab="5"/>
  </bookViews>
  <sheets>
    <sheet name="Chapter" sheetId="1" r:id="rId1"/>
    <sheet name="14.1" sheetId="5" r:id="rId2"/>
    <sheet name="14.2" sheetId="6" r:id="rId3"/>
    <sheet name="14.3" sheetId="7" r:id="rId4"/>
    <sheet name="14.4" sheetId="8" r:id="rId5"/>
    <sheet name="14.5" sheetId="9" r:id="rId6"/>
    <sheet name="14.7" sheetId="2" r:id="rId7"/>
    <sheet name="14.9" sheetId="3" r:id="rId8"/>
    <sheet name="14.13" sheetId="4" r:id="rId9"/>
  </sheets>
  <definedNames>
    <definedName name="_xlnm.Print_Area" localSheetId="0">Chapter!$A$1:$J$57</definedName>
  </definedNames>
  <calcPr calcId="145621"/>
</workbook>
</file>

<file path=xl/calcChain.xml><?xml version="1.0" encoding="utf-8"?>
<calcChain xmlns="http://schemas.openxmlformats.org/spreadsheetml/2006/main">
  <c r="C9" i="1" l="1"/>
  <c r="C10" i="1" s="1"/>
  <c r="C11" i="1" s="1"/>
  <c r="C17" i="3"/>
  <c r="C16" i="3"/>
  <c r="C18" i="3" s="1"/>
  <c r="C21" i="3" s="1"/>
  <c r="C22" i="3"/>
  <c r="D93" i="1"/>
  <c r="D94" i="1"/>
  <c r="C83" i="1"/>
  <c r="D83" i="1" s="1"/>
  <c r="C87" i="1"/>
  <c r="D87" i="1" s="1"/>
  <c r="C90" i="1"/>
  <c r="D90" i="1" s="1"/>
  <c r="C88" i="1"/>
  <c r="D88" i="1" s="1"/>
  <c r="C89" i="1"/>
  <c r="D89" i="1" s="1"/>
  <c r="D119" i="1"/>
  <c r="C84" i="1"/>
  <c r="D84" i="1" s="1"/>
  <c r="C85" i="1"/>
  <c r="D85" i="1" s="1"/>
  <c r="D86" i="1"/>
  <c r="D107" i="1" s="1"/>
  <c r="E107" i="1" s="1"/>
  <c r="E105" i="1"/>
  <c r="E273" i="1" s="1"/>
  <c r="F82" i="1"/>
  <c r="F81" i="1"/>
  <c r="F93" i="1" s="1"/>
  <c r="E119" i="1"/>
  <c r="F119" i="1" s="1"/>
  <c r="F86" i="1"/>
  <c r="G105" i="1"/>
  <c r="G273" i="1" s="1"/>
  <c r="H81" i="1"/>
  <c r="H86" i="1"/>
  <c r="I105" i="1"/>
  <c r="I285" i="1" s="1"/>
  <c r="J81" i="1"/>
  <c r="J86" i="1"/>
  <c r="K105" i="1"/>
  <c r="K285" i="1" s="1"/>
  <c r="C82" i="1"/>
  <c r="D278" i="1"/>
  <c r="E278" i="1"/>
  <c r="F278" i="1" s="1"/>
  <c r="G278" i="1" s="1"/>
  <c r="H278" i="1" s="1"/>
  <c r="I278" i="1" s="1"/>
  <c r="J278" i="1" s="1"/>
  <c r="K278" i="1" s="1"/>
  <c r="C290" i="1"/>
  <c r="D290" i="1" s="1"/>
  <c r="K118" i="1"/>
  <c r="K288" i="1" s="1"/>
  <c r="J288" i="1"/>
  <c r="I118" i="1"/>
  <c r="I288" i="1"/>
  <c r="H288" i="1"/>
  <c r="G118" i="1"/>
  <c r="G288" i="1" s="1"/>
  <c r="F288" i="1"/>
  <c r="E118" i="1"/>
  <c r="E288" i="1" s="1"/>
  <c r="D288" i="1"/>
  <c r="K116" i="1"/>
  <c r="I116" i="1"/>
  <c r="G116" i="1"/>
  <c r="E116" i="1"/>
  <c r="C288" i="1"/>
  <c r="C287" i="1"/>
  <c r="C204" i="1"/>
  <c r="C205" i="1"/>
  <c r="C206" i="1"/>
  <c r="C208" i="1" s="1"/>
  <c r="C207" i="1"/>
  <c r="C159" i="1"/>
  <c r="E157" i="1"/>
  <c r="D157" i="1"/>
  <c r="C157" i="1"/>
  <c r="C160" i="1"/>
  <c r="K152" i="1"/>
  <c r="I152" i="1"/>
  <c r="G152" i="1"/>
  <c r="E152" i="1"/>
  <c r="C150" i="1"/>
  <c r="E156" i="1"/>
  <c r="F156" i="1"/>
  <c r="G156" i="1"/>
  <c r="H156" i="1"/>
  <c r="I156" i="1"/>
  <c r="J156" i="1"/>
  <c r="K156" i="1"/>
  <c r="D156" i="1"/>
  <c r="C149" i="1"/>
  <c r="D149" i="1"/>
  <c r="E149" i="1" s="1"/>
  <c r="D148" i="1"/>
  <c r="C103" i="1"/>
  <c r="D102" i="1" s="1"/>
  <c r="F102" i="1" s="1"/>
  <c r="H102" i="1" s="1"/>
  <c r="J102" i="1" s="1"/>
  <c r="D103" i="1"/>
  <c r="E103" i="1" s="1"/>
  <c r="F103" i="1" s="1"/>
  <c r="C275" i="1"/>
  <c r="C285" i="1"/>
  <c r="C283" i="1"/>
  <c r="D283" i="1" s="1"/>
  <c r="E283" i="1" s="1"/>
  <c r="F283" i="1" s="1"/>
  <c r="G283" i="1" s="1"/>
  <c r="H283" i="1" s="1"/>
  <c r="I283" i="1" s="1"/>
  <c r="J283" i="1" s="1"/>
  <c r="K283" i="1" s="1"/>
  <c r="C178" i="1"/>
  <c r="C92" i="1"/>
  <c r="D92" i="1"/>
  <c r="F92" i="1" s="1"/>
  <c r="D216" i="1"/>
  <c r="C271" i="1"/>
  <c r="D271" i="1" s="1"/>
  <c r="E271" i="1" s="1"/>
  <c r="F271" i="1" s="1"/>
  <c r="G271" i="1" s="1"/>
  <c r="H271" i="1" s="1"/>
  <c r="I271" i="1" s="1"/>
  <c r="J271" i="1" s="1"/>
  <c r="K271" i="1" s="1"/>
  <c r="D80" i="1"/>
  <c r="F80" i="1" s="1"/>
  <c r="H80" i="1" s="1"/>
  <c r="J80" i="1" s="1"/>
  <c r="J276" i="1"/>
  <c r="H276" i="1"/>
  <c r="F276" i="1"/>
  <c r="D276" i="1"/>
  <c r="C273" i="1"/>
  <c r="C276" i="1"/>
  <c r="K276" i="1"/>
  <c r="I276" i="1"/>
  <c r="G276" i="1"/>
  <c r="C203" i="1"/>
  <c r="C209" i="1"/>
  <c r="C18" i="4"/>
  <c r="C16" i="4"/>
  <c r="C14" i="4"/>
  <c r="C12" i="4"/>
  <c r="C10" i="2"/>
  <c r="F68" i="1"/>
  <c r="F69" i="1"/>
  <c r="G68" i="1"/>
  <c r="G69" i="1"/>
  <c r="G71" i="1" s="1"/>
  <c r="G72" i="1" s="1"/>
  <c r="E68" i="1"/>
  <c r="E69" i="1"/>
  <c r="C50" i="1"/>
  <c r="C51" i="1" s="1"/>
  <c r="C53" i="1" s="1"/>
  <c r="E50" i="1"/>
  <c r="G50" i="1"/>
  <c r="C40" i="1"/>
  <c r="E40" i="1"/>
  <c r="G40" i="1"/>
  <c r="G119" i="1" l="1"/>
  <c r="F157" i="1"/>
  <c r="D113" i="1"/>
  <c r="E113" i="1" s="1"/>
  <c r="D151" i="1"/>
  <c r="E151" i="1" s="1"/>
  <c r="F89" i="1"/>
  <c r="H93" i="1"/>
  <c r="F216" i="1"/>
  <c r="D106" i="1"/>
  <c r="E106" i="1" s="1"/>
  <c r="F85" i="1"/>
  <c r="E276" i="1"/>
  <c r="I273" i="1"/>
  <c r="H107" i="1"/>
  <c r="I107" i="1" s="1"/>
  <c r="F107" i="1"/>
  <c r="G107" i="1" s="1"/>
  <c r="F94" i="1"/>
  <c r="E285" i="1"/>
  <c r="C41" i="1"/>
  <c r="C43" i="1" s="1"/>
  <c r="G285" i="1"/>
  <c r="C151" i="1"/>
  <c r="C153" i="1" s="1"/>
  <c r="C155" i="1" s="1"/>
  <c r="C161" i="1" s="1"/>
  <c r="C23" i="3"/>
  <c r="D22" i="3" s="1"/>
  <c r="D23" i="3" s="1"/>
  <c r="E71" i="1"/>
  <c r="E72" i="1" s="1"/>
  <c r="F71" i="1"/>
  <c r="F72" i="1" s="1"/>
  <c r="K273" i="1"/>
  <c r="D270" i="1"/>
  <c r="F270" i="1" s="1"/>
  <c r="H270" i="1" s="1"/>
  <c r="J270" i="1" s="1"/>
  <c r="D124" i="1"/>
  <c r="H82" i="1"/>
  <c r="D16" i="3"/>
  <c r="D18" i="3" s="1"/>
  <c r="D21" i="3" s="1"/>
  <c r="G103" i="1"/>
  <c r="H103" i="1" s="1"/>
  <c r="F124" i="1"/>
  <c r="F149" i="1"/>
  <c r="G149" i="1" s="1"/>
  <c r="F148" i="1"/>
  <c r="D104" i="1"/>
  <c r="F84" i="1"/>
  <c r="D112" i="1"/>
  <c r="F88" i="1"/>
  <c r="D150" i="1"/>
  <c r="D109" i="1"/>
  <c r="F87" i="1"/>
  <c r="C25" i="3"/>
  <c r="H92" i="1"/>
  <c r="F180" i="1"/>
  <c r="F203" i="1"/>
  <c r="H119" i="1"/>
  <c r="G157" i="1"/>
  <c r="F90" i="1"/>
  <c r="F83" i="1"/>
  <c r="D95" i="1"/>
  <c r="D96" i="1" s="1"/>
  <c r="D203" i="1"/>
  <c r="D180" i="1"/>
  <c r="D282" i="1"/>
  <c r="F282" i="1" s="1"/>
  <c r="H282" i="1" s="1"/>
  <c r="J282" i="1" s="1"/>
  <c r="H94" i="1" l="1"/>
  <c r="J82" i="1"/>
  <c r="H216" i="1"/>
  <c r="J93" i="1"/>
  <c r="F106" i="1"/>
  <c r="G106" i="1" s="1"/>
  <c r="H85" i="1"/>
  <c r="F151" i="1"/>
  <c r="G151" i="1" s="1"/>
  <c r="H89" i="1"/>
  <c r="F113" i="1"/>
  <c r="G113" i="1" s="1"/>
  <c r="H83" i="1"/>
  <c r="D98" i="1"/>
  <c r="D209" i="1"/>
  <c r="H90" i="1"/>
  <c r="I119" i="1"/>
  <c r="H157" i="1"/>
  <c r="F109" i="1"/>
  <c r="H87" i="1"/>
  <c r="E150" i="1"/>
  <c r="E153" i="1" s="1"/>
  <c r="E155" i="1" s="1"/>
  <c r="D153" i="1"/>
  <c r="D155" i="1" s="1"/>
  <c r="E112" i="1"/>
  <c r="D205" i="1"/>
  <c r="D125" i="1"/>
  <c r="D204" i="1"/>
  <c r="E104" i="1"/>
  <c r="E108" i="1" s="1"/>
  <c r="D181" i="1"/>
  <c r="D184" i="1" s="1"/>
  <c r="H149" i="1"/>
  <c r="I149" i="1" s="1"/>
  <c r="H148" i="1"/>
  <c r="H124" i="1"/>
  <c r="I103" i="1"/>
  <c r="J103" i="1" s="1"/>
  <c r="J92" i="1"/>
  <c r="H180" i="1"/>
  <c r="H203" i="1"/>
  <c r="E109" i="1"/>
  <c r="D207" i="1"/>
  <c r="F112" i="1"/>
  <c r="F150" i="1"/>
  <c r="H88" i="1"/>
  <c r="H84" i="1"/>
  <c r="F104" i="1"/>
  <c r="H113" i="1" l="1"/>
  <c r="I113" i="1" s="1"/>
  <c r="H151" i="1"/>
  <c r="I151" i="1" s="1"/>
  <c r="J89" i="1"/>
  <c r="H106" i="1"/>
  <c r="I106" i="1" s="1"/>
  <c r="J85" i="1"/>
  <c r="J106" i="1" s="1"/>
  <c r="K106" i="1" s="1"/>
  <c r="J94" i="1"/>
  <c r="J216" i="1"/>
  <c r="J107" i="1"/>
  <c r="K107" i="1" s="1"/>
  <c r="H112" i="1"/>
  <c r="J88" i="1"/>
  <c r="H150" i="1"/>
  <c r="J124" i="1"/>
  <c r="K103" i="1"/>
  <c r="J84" i="1"/>
  <c r="J104" i="1" s="1"/>
  <c r="H104" i="1"/>
  <c r="F153" i="1"/>
  <c r="F155" i="1" s="1"/>
  <c r="G150" i="1"/>
  <c r="G153" i="1" s="1"/>
  <c r="G155" i="1" s="1"/>
  <c r="J180" i="1"/>
  <c r="J203" i="1"/>
  <c r="J148" i="1"/>
  <c r="J149" i="1"/>
  <c r="K149" i="1" s="1"/>
  <c r="H109" i="1"/>
  <c r="J87" i="1"/>
  <c r="J109" i="1" s="1"/>
  <c r="J119" i="1"/>
  <c r="I157" i="1"/>
  <c r="J90" i="1"/>
  <c r="D99" i="1"/>
  <c r="D100" i="1" s="1"/>
  <c r="J83" i="1"/>
  <c r="J95" i="1" s="1"/>
  <c r="J96" i="1" s="1"/>
  <c r="H95" i="1"/>
  <c r="H96" i="1" s="1"/>
  <c r="D206" i="1"/>
  <c r="D208" i="1" s="1"/>
  <c r="D210" i="1" s="1"/>
  <c r="F125" i="1"/>
  <c r="G104" i="1"/>
  <c r="G108" i="1" s="1"/>
  <c r="G110" i="1" s="1"/>
  <c r="F181" i="1"/>
  <c r="F184" i="1" s="1"/>
  <c r="F204" i="1"/>
  <c r="F205" i="1"/>
  <c r="G112" i="1"/>
  <c r="F207" i="1"/>
  <c r="G109" i="1"/>
  <c r="D211" i="1"/>
  <c r="D214" i="1"/>
  <c r="E110" i="1"/>
  <c r="F95" i="1"/>
  <c r="F96" i="1" s="1"/>
  <c r="J113" i="1" l="1"/>
  <c r="K113" i="1" s="1"/>
  <c r="J151" i="1"/>
  <c r="K151" i="1" s="1"/>
  <c r="D120" i="1"/>
  <c r="D183" i="1"/>
  <c r="D185" i="1"/>
  <c r="D159" i="1"/>
  <c r="D126" i="1"/>
  <c r="D127" i="1" s="1"/>
  <c r="F209" i="1"/>
  <c r="F98" i="1"/>
  <c r="J209" i="1"/>
  <c r="J98" i="1"/>
  <c r="J207" i="1"/>
  <c r="K109" i="1"/>
  <c r="H125" i="1"/>
  <c r="I104" i="1"/>
  <c r="I108" i="1" s="1"/>
  <c r="H181" i="1"/>
  <c r="H184" i="1" s="1"/>
  <c r="H204" i="1"/>
  <c r="I150" i="1"/>
  <c r="I153" i="1" s="1"/>
  <c r="I155" i="1" s="1"/>
  <c r="H153" i="1"/>
  <c r="H155" i="1" s="1"/>
  <c r="H205" i="1"/>
  <c r="I112" i="1"/>
  <c r="F206" i="1"/>
  <c r="F208" i="1" s="1"/>
  <c r="F210" i="1" s="1"/>
  <c r="J99" i="1"/>
  <c r="H209" i="1"/>
  <c r="H98" i="1"/>
  <c r="K119" i="1"/>
  <c r="J157" i="1"/>
  <c r="H207" i="1"/>
  <c r="I109" i="1"/>
  <c r="J125" i="1"/>
  <c r="K104" i="1"/>
  <c r="K108" i="1" s="1"/>
  <c r="K110" i="1" s="1"/>
  <c r="J181" i="1"/>
  <c r="J184" i="1" s="1"/>
  <c r="J204" i="1"/>
  <c r="J112" i="1"/>
  <c r="J150" i="1"/>
  <c r="J153" i="1" l="1"/>
  <c r="J155" i="1" s="1"/>
  <c r="K150" i="1"/>
  <c r="K153" i="1" s="1"/>
  <c r="K155" i="1" s="1"/>
  <c r="J205" i="1"/>
  <c r="K112" i="1"/>
  <c r="K157" i="1"/>
  <c r="H214" i="1"/>
  <c r="F211" i="1"/>
  <c r="F214" i="1"/>
  <c r="D105" i="1"/>
  <c r="E120" i="1" s="1"/>
  <c r="D114" i="1"/>
  <c r="D121" i="1"/>
  <c r="J206" i="1"/>
  <c r="J208" i="1" s="1"/>
  <c r="H99" i="1"/>
  <c r="H100" i="1" s="1"/>
  <c r="F99" i="1"/>
  <c r="F100" i="1" s="1"/>
  <c r="E159" i="1"/>
  <c r="D160" i="1"/>
  <c r="D161" i="1" s="1"/>
  <c r="H206" i="1"/>
  <c r="H208" i="1" s="1"/>
  <c r="H210" i="1" s="1"/>
  <c r="H211" i="1" s="1"/>
  <c r="I110" i="1"/>
  <c r="J100" i="1"/>
  <c r="H215" i="1" l="1"/>
  <c r="H219" i="1"/>
  <c r="H183" i="1"/>
  <c r="H185" i="1"/>
  <c r="F120" i="1"/>
  <c r="E121" i="1"/>
  <c r="F126" i="1"/>
  <c r="F127" i="1" s="1"/>
  <c r="F185" i="1"/>
  <c r="F183" i="1"/>
  <c r="E114" i="1"/>
  <c r="D275" i="1"/>
  <c r="D287" i="1"/>
  <c r="D115" i="1"/>
  <c r="D117" i="1" s="1"/>
  <c r="D122" i="1" s="1"/>
  <c r="J183" i="1"/>
  <c r="J185" i="1"/>
  <c r="F159" i="1"/>
  <c r="G159" i="1" s="1"/>
  <c r="H159" i="1" s="1"/>
  <c r="I159" i="1" s="1"/>
  <c r="J159" i="1" s="1"/>
  <c r="K159" i="1" s="1"/>
  <c r="J210" i="1"/>
  <c r="J211" i="1" s="1"/>
  <c r="J214" i="1"/>
  <c r="D273" i="1"/>
  <c r="E280" i="1" s="1"/>
  <c r="D285" i="1"/>
  <c r="E158" i="1"/>
  <c r="D108" i="1"/>
  <c r="D110" i="1" s="1"/>
  <c r="F215" i="1"/>
  <c r="F219" i="1" s="1"/>
  <c r="F220" i="1" s="1"/>
  <c r="D220" i="1" l="1"/>
  <c r="F284" i="1"/>
  <c r="F272" i="1"/>
  <c r="J215" i="1"/>
  <c r="J219" i="1" s="1"/>
  <c r="J220" i="1" s="1"/>
  <c r="F158" i="1"/>
  <c r="E160" i="1"/>
  <c r="E161" i="1" s="1"/>
  <c r="E162" i="1" s="1"/>
  <c r="E275" i="1"/>
  <c r="E287" i="1"/>
  <c r="E115" i="1"/>
  <c r="E117" i="1" s="1"/>
  <c r="E122" i="1" s="1"/>
  <c r="F105" i="1"/>
  <c r="G120" i="1" s="1"/>
  <c r="F114" i="1"/>
  <c r="F121" i="1"/>
  <c r="D162" i="1"/>
  <c r="D178" i="1"/>
  <c r="D123" i="1"/>
  <c r="J284" i="1" l="1"/>
  <c r="J272" i="1"/>
  <c r="H220" i="1"/>
  <c r="H120" i="1"/>
  <c r="G121" i="1"/>
  <c r="H126" i="1"/>
  <c r="H127" i="1" s="1"/>
  <c r="F273" i="1"/>
  <c r="G280" i="1" s="1"/>
  <c r="F285" i="1"/>
  <c r="F108" i="1"/>
  <c r="F110" i="1" s="1"/>
  <c r="G272" i="1"/>
  <c r="G274" i="1" s="1"/>
  <c r="F274" i="1"/>
  <c r="C220" i="1"/>
  <c r="D284" i="1"/>
  <c r="D272" i="1"/>
  <c r="G114" i="1"/>
  <c r="F287" i="1"/>
  <c r="F275" i="1"/>
  <c r="F115" i="1"/>
  <c r="F117" i="1" s="1"/>
  <c r="F122" i="1" s="1"/>
  <c r="E123" i="1"/>
  <c r="E178" i="1"/>
  <c r="G158" i="1"/>
  <c r="F160" i="1"/>
  <c r="F161" i="1" s="1"/>
  <c r="G284" i="1"/>
  <c r="G286" i="1" s="1"/>
  <c r="F286" i="1"/>
  <c r="F289" i="1" s="1"/>
  <c r="E272" i="1" l="1"/>
  <c r="E274" i="1" s="1"/>
  <c r="E277" i="1" s="1"/>
  <c r="E279" i="1" s="1"/>
  <c r="D274" i="1"/>
  <c r="D277" i="1" s="1"/>
  <c r="D279" i="1" s="1"/>
  <c r="H158" i="1"/>
  <c r="G160" i="1"/>
  <c r="G161" i="1" s="1"/>
  <c r="G162" i="1" s="1"/>
  <c r="G287" i="1"/>
  <c r="G275" i="1"/>
  <c r="G115" i="1"/>
  <c r="G117" i="1" s="1"/>
  <c r="G122" i="1" s="1"/>
  <c r="E284" i="1"/>
  <c r="E286" i="1" s="1"/>
  <c r="E289" i="1" s="1"/>
  <c r="E291" i="1" s="1"/>
  <c r="D286" i="1"/>
  <c r="D289" i="1" s="1"/>
  <c r="D291" i="1" s="1"/>
  <c r="E290" i="1" s="1"/>
  <c r="F290" i="1" s="1"/>
  <c r="F162" i="1"/>
  <c r="F178" i="1"/>
  <c r="F123" i="1"/>
  <c r="H284" i="1"/>
  <c r="H272" i="1"/>
  <c r="K284" i="1"/>
  <c r="K286" i="1" s="1"/>
  <c r="F291" i="1"/>
  <c r="G289" i="1"/>
  <c r="F277" i="1"/>
  <c r="F279" i="1" s="1"/>
  <c r="C284" i="1"/>
  <c r="C286" i="1" s="1"/>
  <c r="C289" i="1" s="1"/>
  <c r="C291" i="1" s="1"/>
  <c r="C272" i="1"/>
  <c r="C274" i="1" s="1"/>
  <c r="C277" i="1" s="1"/>
  <c r="C279" i="1" s="1"/>
  <c r="H105" i="1"/>
  <c r="I120" i="1" s="1"/>
  <c r="H114" i="1"/>
  <c r="H121" i="1"/>
  <c r="K272" i="1"/>
  <c r="K274" i="1" s="1"/>
  <c r="G277" i="1"/>
  <c r="G279" i="1" s="1"/>
  <c r="J120" i="1" l="1"/>
  <c r="I121" i="1"/>
  <c r="J126" i="1"/>
  <c r="J127" i="1" s="1"/>
  <c r="H273" i="1"/>
  <c r="I280" i="1" s="1"/>
  <c r="H285" i="1"/>
  <c r="H286" i="1" s="1"/>
  <c r="H289" i="1" s="1"/>
  <c r="H108" i="1"/>
  <c r="H110" i="1" s="1"/>
  <c r="I114" i="1"/>
  <c r="H275" i="1"/>
  <c r="H287" i="1"/>
  <c r="H115" i="1"/>
  <c r="H117" i="1" s="1"/>
  <c r="H122" i="1" s="1"/>
  <c r="I284" i="1"/>
  <c r="I286" i="1" s="1"/>
  <c r="G123" i="1"/>
  <c r="G178" i="1"/>
  <c r="I158" i="1"/>
  <c r="H160" i="1"/>
  <c r="H161" i="1" s="1"/>
  <c r="G290" i="1"/>
  <c r="H290" i="1" s="1"/>
  <c r="I272" i="1"/>
  <c r="I274" i="1" s="1"/>
  <c r="G291" i="1" l="1"/>
  <c r="H274" i="1"/>
  <c r="H277" i="1" s="1"/>
  <c r="H279" i="1" s="1"/>
  <c r="J158" i="1"/>
  <c r="I160" i="1"/>
  <c r="I161" i="1" s="1"/>
  <c r="I162" i="1" s="1"/>
  <c r="I287" i="1"/>
  <c r="I275" i="1"/>
  <c r="I277" i="1" s="1"/>
  <c r="I279" i="1" s="1"/>
  <c r="I115" i="1"/>
  <c r="I117" i="1" s="1"/>
  <c r="I122" i="1" s="1"/>
  <c r="J105" i="1"/>
  <c r="J114" i="1"/>
  <c r="D78" i="1"/>
  <c r="D128" i="1"/>
  <c r="D91" i="1"/>
  <c r="D101" i="1"/>
  <c r="K120" i="1"/>
  <c r="K121" i="1" s="1"/>
  <c r="J121" i="1"/>
  <c r="I289" i="1"/>
  <c r="H162" i="1"/>
  <c r="H178" i="1"/>
  <c r="H123" i="1"/>
  <c r="H291" i="1"/>
  <c r="I290" i="1" s="1"/>
  <c r="J290" i="1" s="1"/>
  <c r="K114" i="1" l="1"/>
  <c r="J287" i="1"/>
  <c r="J275" i="1"/>
  <c r="J115" i="1"/>
  <c r="J117" i="1" s="1"/>
  <c r="J122" i="1" s="1"/>
  <c r="I123" i="1"/>
  <c r="I178" i="1"/>
  <c r="K158" i="1"/>
  <c r="K160" i="1" s="1"/>
  <c r="K161" i="1" s="1"/>
  <c r="K162" i="1" s="1"/>
  <c r="J160" i="1"/>
  <c r="J161" i="1" s="1"/>
  <c r="I291" i="1"/>
  <c r="J273" i="1"/>
  <c r="J285" i="1"/>
  <c r="J286" i="1" s="1"/>
  <c r="J289" i="1" s="1"/>
  <c r="J291" i="1" s="1"/>
  <c r="J108" i="1"/>
  <c r="J110" i="1" s="1"/>
  <c r="J162" i="1" l="1"/>
  <c r="J178" i="1"/>
  <c r="J123" i="1"/>
  <c r="K280" i="1"/>
  <c r="J274" i="1"/>
  <c r="J277" i="1" s="1"/>
  <c r="J279" i="1" s="1"/>
  <c r="K290" i="1"/>
  <c r="K287" i="1"/>
  <c r="K289" i="1" s="1"/>
  <c r="K275" i="1"/>
  <c r="K277" i="1" s="1"/>
  <c r="K279" i="1" s="1"/>
  <c r="K115" i="1"/>
  <c r="K117" i="1" s="1"/>
  <c r="K122" i="1" s="1"/>
  <c r="K123" i="1" l="1"/>
  <c r="K178" i="1"/>
  <c r="K291" i="1"/>
</calcChain>
</file>

<file path=xl/comments1.xml><?xml version="1.0" encoding="utf-8"?>
<comments xmlns="http://schemas.openxmlformats.org/spreadsheetml/2006/main">
  <authors>
    <author>Mike Ehrhardt</author>
  </authors>
  <commentList>
    <comment ref="F219" authorId="0">
      <text>
        <r>
          <rPr>
            <sz val="10"/>
            <color indexed="81"/>
            <rFont val="Tahoma"/>
            <family val="2"/>
          </rPr>
          <t>Note: we can apply the horizon value formula before the last projected year because FCF is growing at a constant rate from the beginning.</t>
        </r>
      </text>
    </comment>
    <comment ref="H219" authorId="0">
      <text>
        <r>
          <rPr>
            <sz val="10"/>
            <color indexed="81"/>
            <rFont val="Tahoma"/>
            <family val="2"/>
          </rPr>
          <t>Note: we can apply the horizon value formula before the last projected year because FCF is growing at a constant rate from the beginning.</t>
        </r>
      </text>
    </comment>
  </commentList>
</comments>
</file>

<file path=xl/sharedStrings.xml><?xml version="1.0" encoding="utf-8"?>
<sst xmlns="http://schemas.openxmlformats.org/spreadsheetml/2006/main" count="248" uniqueCount="199">
  <si>
    <t>=</t>
  </si>
  <si>
    <t>Net Income  -  [(Target equity ratio) * (Total capital budget)]</t>
  </si>
  <si>
    <t>Net Income</t>
  </si>
  <si>
    <t>Target equity ratio</t>
  </si>
  <si>
    <t>Total capital budget</t>
  </si>
  <si>
    <t>-</t>
  </si>
  <si>
    <t>*</t>
  </si>
  <si>
    <t xml:space="preserve"> =</t>
  </si>
  <si>
    <t>The optimal distribution ratio for a firm is a function of four factors.  (1) Investors' preferences for dividends versus capital gains.  (2) The firm's investment opportunities.  (3) Its target capital structure.  And (4), the availability and cost of external capital.</t>
  </si>
  <si>
    <t>The last three elements can be combined into the residual distribution model.  Within the residual model, firms must determine the optimal capital budget, determine the amount of  equity needed to fund the capital budget (based upon the target capital structure), use reinvested earnings to meet equity requirements whenever possible, and make distributions to shareholders only if more earnings are available than are needed for dividends.  The residual model can be expressed as:</t>
  </si>
  <si>
    <t>Distributions =</t>
  </si>
  <si>
    <t xml:space="preserve">Consider a firm whose net income for the current year is $100 million, their target equity ratio is 60%, and the expected capital budget is $50 million.  What are its distributions to be made to shareholders, according to the residual model? </t>
  </si>
  <si>
    <t>Distributions     =</t>
  </si>
  <si>
    <t>Distribution       =</t>
  </si>
  <si>
    <t>The firm could not have a negative dividend, so a negative distribution must be a stock issue rather than a stock repurchase.  Under the residual policy, if investment opportunities exceed net income, the firm should pay zero dividends and issue stock (or else increase its debt ratio to fund the investment opportunities).</t>
  </si>
  <si>
    <t>SOLUTIONS TO SELF-TEST</t>
  </si>
  <si>
    <t>What if the expected capital budget rose to $166.67 million?</t>
  </si>
  <si>
    <t>Poor</t>
  </si>
  <si>
    <t>Average</t>
  </si>
  <si>
    <t>Good</t>
  </si>
  <si>
    <t>Capital budget</t>
  </si>
  <si>
    <t>Net income</t>
  </si>
  <si>
    <t>Distributions paid (NI – Required equity)</t>
  </si>
  <si>
    <t>Distribution ratio (Dividend/NI)</t>
  </si>
  <si>
    <t>T&amp;W's Distribution Ratio</t>
  </si>
  <si>
    <t>Net income =</t>
  </si>
  <si>
    <t>Target equity ratio =</t>
  </si>
  <si>
    <t>Note: a negative distribution means T&amp;W would pay no dividends but would issue stock.</t>
  </si>
  <si>
    <t>Capital budget =</t>
  </si>
  <si>
    <t>Residual distribution =</t>
  </si>
  <si>
    <t>Shares</t>
  </si>
  <si>
    <t>EPS</t>
  </si>
  <si>
    <t>DPS</t>
  </si>
  <si>
    <t>Stock price</t>
  </si>
  <si>
    <t>Price</t>
  </si>
  <si>
    <t xml:space="preserve">SOLUTIONS TO SELF-TEST </t>
  </si>
  <si>
    <t>Split factor (n-for-1)</t>
  </si>
  <si>
    <t>Chapter 14.  Tool Kit for Distributions to Shareholders: Dividends and Repurchases</t>
  </si>
  <si>
    <t>SECTION 14.7</t>
  </si>
  <si>
    <t>Hamilton Corporation has a target equity ratio of 65%. Its capital budget is $2 million. If Hamilton has net income of $1.6 million and follows a residual distribution model, how much will its distribution be?</t>
  </si>
  <si>
    <t>SECTION 14.9</t>
  </si>
  <si>
    <t>SECTION 14.13</t>
  </si>
  <si>
    <t>Suppose you have 1,000 common shares of Burnside Bakeries. The EPS is $6.00, the DPS is $3.00, and the stock sells for $90 per share.  Burnside announces a 3-for-1 split.  Immediately after the split, how many shares will you have, what will the adjusted EPS and DPS be, and what would you expect the stock price to be?</t>
  </si>
  <si>
    <r>
      <t>Target equity ratio (w</t>
    </r>
    <r>
      <rPr>
        <b/>
        <vertAlign val="subscript"/>
        <sz val="10"/>
        <rFont val="Arial"/>
        <family val="2"/>
      </rPr>
      <t>s</t>
    </r>
    <r>
      <rPr>
        <b/>
        <sz val="10"/>
        <rFont val="Arial"/>
        <family val="2"/>
      </rPr>
      <t>) =</t>
    </r>
  </si>
  <si>
    <r>
      <t>Required equity (w</t>
    </r>
    <r>
      <rPr>
        <b/>
        <vertAlign val="subscript"/>
        <sz val="10"/>
        <color indexed="8"/>
        <rFont val="Arial"/>
        <family val="2"/>
      </rPr>
      <t>s</t>
    </r>
    <r>
      <rPr>
        <b/>
        <sz val="10"/>
        <color indexed="8"/>
        <rFont val="Arial"/>
        <family val="2"/>
      </rPr>
      <t xml:space="preserve"> X Capital budget)</t>
    </r>
  </si>
  <si>
    <r>
      <t>SETTING THE TARGET DISTRIBUTION LEVEL: 
THE RESIDUAL DISTRIBUTION MODEL  (</t>
    </r>
    <r>
      <rPr>
        <b/>
        <i/>
        <sz val="11"/>
        <color indexed="16"/>
        <rFont val="Arial"/>
        <family val="2"/>
      </rPr>
      <t>Section 14.7</t>
    </r>
    <r>
      <rPr>
        <b/>
        <sz val="11"/>
        <color indexed="16"/>
        <rFont val="Arial"/>
        <family val="2"/>
      </rPr>
      <t>)</t>
    </r>
  </si>
  <si>
    <t>na</t>
  </si>
  <si>
    <t>Growth in sales</t>
  </si>
  <si>
    <t>Growth in FCF</t>
  </si>
  <si>
    <t>Accruals</t>
  </si>
  <si>
    <t>Net plant and equipment</t>
  </si>
  <si>
    <t>Inventories</t>
  </si>
  <si>
    <t>Accounts receivable</t>
  </si>
  <si>
    <t>Cash</t>
  </si>
  <si>
    <t>Earning before int. &amp; tax</t>
  </si>
  <si>
    <t>Depreciation</t>
  </si>
  <si>
    <t>Costs (except depreciation)</t>
  </si>
  <si>
    <t>Net Sales</t>
  </si>
  <si>
    <t>Projected</t>
  </si>
  <si>
    <t>Tax rate</t>
  </si>
  <si>
    <t>Accruals / Sales</t>
  </si>
  <si>
    <t>Net PPE / Sales</t>
  </si>
  <si>
    <t>Inventories / Sales</t>
  </si>
  <si>
    <t>Cash / Sales</t>
  </si>
  <si>
    <t>Depreciation / Net PPE</t>
  </si>
  <si>
    <t>Costs / Sales</t>
  </si>
  <si>
    <t>Preferred stock</t>
  </si>
  <si>
    <t>Value of operations</t>
  </si>
  <si>
    <t>Total current assets</t>
  </si>
  <si>
    <t>Total assets</t>
  </si>
  <si>
    <t>Earnings before taxes</t>
  </si>
  <si>
    <t>Taxes</t>
  </si>
  <si>
    <t>Short-term debt</t>
  </si>
  <si>
    <t>Total current liabilities</t>
  </si>
  <si>
    <t>Long-term debt</t>
  </si>
  <si>
    <t>Total liabilities</t>
  </si>
  <si>
    <t>Common stock</t>
  </si>
  <si>
    <t>Total common equity</t>
  </si>
  <si>
    <t>Total liabilities &amp; equity</t>
  </si>
  <si>
    <t>Liabilities &amp; Equity</t>
  </si>
  <si>
    <t>Notes:</t>
  </si>
  <si>
    <r>
      <t>Required additional equity</t>
    </r>
    <r>
      <rPr>
        <b/>
        <vertAlign val="superscript"/>
        <sz val="10"/>
        <rFont val="Arial"/>
        <family val="2"/>
      </rPr>
      <t>c</t>
    </r>
  </si>
  <si>
    <t xml:space="preserve">WACC = </t>
  </si>
  <si>
    <t>Performance Measures</t>
  </si>
  <si>
    <t>Valuation</t>
  </si>
  <si>
    <t>Net plant &amp; equipment</t>
  </si>
  <si>
    <r>
      <t>Operating current liabilities</t>
    </r>
    <r>
      <rPr>
        <b/>
        <vertAlign val="superscript"/>
        <sz val="10"/>
        <rFont val="Arial"/>
        <family val="2"/>
      </rPr>
      <t>b</t>
    </r>
  </si>
  <si>
    <r>
      <t>Operating current assets</t>
    </r>
    <r>
      <rPr>
        <b/>
        <vertAlign val="superscript"/>
        <sz val="10"/>
        <rFont val="Arial"/>
        <family val="2"/>
      </rPr>
      <t>a</t>
    </r>
  </si>
  <si>
    <r>
      <t>NOWC</t>
    </r>
    <r>
      <rPr>
        <b/>
        <vertAlign val="superscript"/>
        <sz val="10"/>
        <rFont val="Arial"/>
        <family val="2"/>
      </rPr>
      <t>c</t>
    </r>
  </si>
  <si>
    <r>
      <t>Net operating capital</t>
    </r>
    <r>
      <rPr>
        <b/>
        <vertAlign val="superscript"/>
        <sz val="10"/>
        <rFont val="Arial"/>
        <family val="2"/>
      </rPr>
      <t>d</t>
    </r>
  </si>
  <si>
    <r>
      <t>NOPAT</t>
    </r>
    <r>
      <rPr>
        <b/>
        <vertAlign val="superscript"/>
        <sz val="10"/>
        <rFont val="Arial"/>
        <family val="2"/>
      </rPr>
      <t>e</t>
    </r>
  </si>
  <si>
    <r>
      <t>Inv. in operating capital</t>
    </r>
    <r>
      <rPr>
        <b/>
        <vertAlign val="superscript"/>
        <sz val="10"/>
        <rFont val="Arial"/>
        <family val="2"/>
      </rPr>
      <t>f</t>
    </r>
  </si>
  <si>
    <r>
      <t>Free cash flow (FCF)</t>
    </r>
    <r>
      <rPr>
        <b/>
        <vertAlign val="superscript"/>
        <sz val="10"/>
        <rFont val="Arial"/>
        <family val="2"/>
      </rPr>
      <t>g</t>
    </r>
  </si>
  <si>
    <r>
      <t>a</t>
    </r>
    <r>
      <rPr>
        <b/>
        <sz val="10"/>
        <rFont val="Arial"/>
        <family val="2"/>
      </rPr>
      <t xml:space="preserve"> Sum of cash, accounts receivable, and inventories.</t>
    </r>
  </si>
  <si>
    <r>
      <t>b</t>
    </r>
    <r>
      <rPr>
        <b/>
        <sz val="10"/>
        <rFont val="Arial"/>
        <family val="2"/>
      </rPr>
      <t xml:space="preserve"> Sum of accounts payable and accruals.</t>
    </r>
  </si>
  <si>
    <r>
      <t>d</t>
    </r>
    <r>
      <rPr>
        <b/>
        <sz val="10"/>
        <rFont val="Arial"/>
        <family val="2"/>
      </rPr>
      <t xml:space="preserve"> Sum of NOWC and net plant &amp; equipment</t>
    </r>
  </si>
  <si>
    <r>
      <t>f</t>
    </r>
    <r>
      <rPr>
        <b/>
        <sz val="10"/>
        <rFont val="Arial"/>
        <family val="2"/>
      </rPr>
      <t xml:space="preserve"> Change in net operating capital from previous year.</t>
    </r>
  </si>
  <si>
    <r>
      <t>g</t>
    </r>
    <r>
      <rPr>
        <b/>
        <sz val="10"/>
        <rFont val="Arial"/>
        <family val="2"/>
      </rPr>
      <t xml:space="preserve"> FCF = NOPAT </t>
    </r>
    <r>
      <rPr>
        <b/>
        <sz val="10"/>
        <rFont val="Times New Roman"/>
        <family val="1"/>
      </rPr>
      <t>−</t>
    </r>
    <r>
      <rPr>
        <b/>
        <sz val="10"/>
        <rFont val="Arial"/>
        <family val="2"/>
      </rPr>
      <t xml:space="preserve"> investment in operating capital</t>
    </r>
  </si>
  <si>
    <r>
      <t>Horizon value</t>
    </r>
    <r>
      <rPr>
        <b/>
        <vertAlign val="superscript"/>
        <sz val="10"/>
        <rFont val="Arial"/>
        <family val="2"/>
      </rPr>
      <t>i</t>
    </r>
  </si>
  <si>
    <r>
      <t>Value of operations</t>
    </r>
    <r>
      <rPr>
        <b/>
        <vertAlign val="superscript"/>
        <sz val="10"/>
        <rFont val="Arial"/>
        <family val="2"/>
      </rPr>
      <t>j</t>
    </r>
  </si>
  <si>
    <r>
      <t>c</t>
    </r>
    <r>
      <rPr>
        <b/>
        <sz val="10"/>
        <rFont val="Arial"/>
        <family val="2"/>
      </rPr>
      <t xml:space="preserve"> Net operating working capital is equal to operating current assets minus operating current liabilities.</t>
    </r>
  </si>
  <si>
    <r>
      <t>e</t>
    </r>
    <r>
      <rPr>
        <b/>
        <sz val="10"/>
        <rFont val="Arial"/>
        <family val="2"/>
      </rPr>
      <t xml:space="preserve"> Net operating profit after taxes = (EBIT)(1</t>
    </r>
    <r>
      <rPr>
        <b/>
        <sz val="10"/>
        <rFont val="Times New Roman"/>
        <family val="1"/>
      </rPr>
      <t>−</t>
    </r>
    <r>
      <rPr>
        <b/>
        <sz val="10"/>
        <rFont val="Arial"/>
        <family val="2"/>
      </rPr>
      <t>T). Notice that NOPAT is equal to net income in this example because there is no interest expense or income.</t>
    </r>
  </si>
  <si>
    <r>
      <t xml:space="preserve">Panel a: </t>
    </r>
    <r>
      <rPr>
        <b/>
        <i/>
        <sz val="11"/>
        <color indexed="10"/>
        <rFont val="Arial"/>
        <family val="2"/>
      </rPr>
      <t>Distribute as Dividends</t>
    </r>
  </si>
  <si>
    <t>Total intrinsic value of firm</t>
  </si>
  <si>
    <r>
      <t xml:space="preserve">Residual distribution: NI </t>
    </r>
    <r>
      <rPr>
        <b/>
        <sz val="10"/>
        <rFont val="Times New Roman"/>
        <family val="1"/>
      </rPr>
      <t>−</t>
    </r>
    <r>
      <rPr>
        <b/>
        <sz val="10"/>
        <rFont val="Arial"/>
        <family val="2"/>
      </rPr>
      <t xml:space="preserve"> Req. equ.</t>
    </r>
  </si>
  <si>
    <t>Panel a: Inputs</t>
  </si>
  <si>
    <t>Panel c: Balance Sheets</t>
  </si>
  <si>
    <t>Assets</t>
  </si>
  <si>
    <r>
      <t>Retained earnings</t>
    </r>
    <r>
      <rPr>
        <b/>
        <vertAlign val="superscript"/>
        <sz val="10"/>
        <rFont val="Arial"/>
        <family val="2"/>
      </rPr>
      <t>c</t>
    </r>
  </si>
  <si>
    <t>Actual</t>
  </si>
  <si>
    <r>
      <t>Panel b: Income Statement</t>
    </r>
    <r>
      <rPr>
        <b/>
        <i/>
        <vertAlign val="superscript"/>
        <sz val="10"/>
        <color indexed="12"/>
        <rFont val="Arial"/>
        <family val="2"/>
      </rPr>
      <t>a</t>
    </r>
  </si>
  <si>
    <r>
      <t>Interest expense</t>
    </r>
    <r>
      <rPr>
        <b/>
        <vertAlign val="superscript"/>
        <sz val="10"/>
        <rFont val="Arial"/>
        <family val="2"/>
      </rPr>
      <t>b</t>
    </r>
  </si>
  <si>
    <r>
      <t>b</t>
    </r>
    <r>
      <rPr>
        <b/>
        <sz val="10"/>
        <rFont val="Arial"/>
        <family val="2"/>
      </rPr>
      <t xml:space="preserve"> </t>
    </r>
    <r>
      <rPr>
        <b/>
        <sz val="10"/>
        <rFont val="Arial"/>
        <family val="2"/>
      </rPr>
      <t>To simplify the example, we assume any short-term investment are held for only part of the year and earn no interest.</t>
    </r>
  </si>
  <si>
    <r>
      <t>a</t>
    </r>
    <r>
      <rPr>
        <b/>
        <sz val="10"/>
        <rFont val="Arial"/>
        <family val="2"/>
      </rPr>
      <t xml:space="preserve"> All calculations are in the file </t>
    </r>
    <r>
      <rPr>
        <b/>
        <i/>
        <sz val="10"/>
        <rFont val="Arial"/>
        <family val="2"/>
      </rPr>
      <t>Ch14 Tool Kit.xls.</t>
    </r>
    <r>
      <rPr>
        <b/>
        <sz val="10"/>
        <rFont val="Arial"/>
        <family val="2"/>
      </rPr>
      <t xml:space="preserve"> Excel uses all significant digits in calculations, but numbers in the Figure are rounded, so columns may not total exactly.</t>
    </r>
  </si>
  <si>
    <t>Required operating assets:</t>
  </si>
  <si>
    <t>Liabilities &amp; equity before distribution</t>
  </si>
  <si>
    <t>Panel d: Plugging to balance</t>
  </si>
  <si>
    <r>
      <t>Short-term investments</t>
    </r>
    <r>
      <rPr>
        <b/>
        <vertAlign val="superscript"/>
        <sz val="10"/>
        <rFont val="Arial"/>
        <family val="2"/>
      </rPr>
      <t>c</t>
    </r>
  </si>
  <si>
    <r>
      <t>Retained earnings</t>
    </r>
    <r>
      <rPr>
        <b/>
        <vertAlign val="superscript"/>
        <sz val="10"/>
        <rFont val="Arial"/>
        <family val="2"/>
      </rPr>
      <t>d</t>
    </r>
  </si>
  <si>
    <r>
      <t>d</t>
    </r>
    <r>
      <rPr>
        <b/>
        <sz val="10"/>
        <rFont val="Arial"/>
        <family val="2"/>
      </rPr>
      <t xml:space="preserve"> Because no funds have been paid out in dividends as of December 30, the retained earnings balance for that date is equal to the previous year's retained earnings balance plus the current year's net income. When short-term investments are sold and their proceeds are used to make the cash dividend payments on December 31, the balance of retained earnings is reduced by the amount of the total dividend payments (which is equal to the reduction in short-term investments). </t>
    </r>
  </si>
  <si>
    <t>Figure 14-1  Projecting Benson Conglomerate's Financial Statements: Distributions as Dividends (Millions of Dollars)</t>
  </si>
  <si>
    <r>
      <t>c</t>
    </r>
    <r>
      <rPr>
        <b/>
        <sz val="10"/>
        <rFont val="Arial"/>
        <family val="2"/>
      </rPr>
      <t xml:space="preserve"> A negative AFN means there are extra funds available. These are held as short-term investments through December 30. These funds are distributed to investors on December 31, so the balance of short-term investments goes to zero on December 31.</t>
    </r>
  </si>
  <si>
    <t>AFN: Addition funds needed</t>
  </si>
  <si>
    <t>Figure 14-2  Projecting Benson Conglomerate's Liabilities &amp; Equity: Distributions as Stock Repurchases (Millions of Dollars)</t>
  </si>
  <si>
    <r>
      <t>Liabilities &amp; Equity</t>
    </r>
    <r>
      <rPr>
        <b/>
        <i/>
        <vertAlign val="superscript"/>
        <sz val="10"/>
        <color indexed="12"/>
        <rFont val="Arial"/>
        <family val="2"/>
      </rPr>
      <t>a</t>
    </r>
  </si>
  <si>
    <r>
      <t>Treasury stock</t>
    </r>
    <r>
      <rPr>
        <b/>
        <vertAlign val="superscript"/>
        <sz val="10"/>
        <rFont val="Arial"/>
        <family val="2"/>
      </rPr>
      <t>b</t>
    </r>
  </si>
  <si>
    <r>
      <t>a</t>
    </r>
    <r>
      <rPr>
        <b/>
        <sz val="10"/>
        <rFont val="Arial"/>
        <family val="2"/>
      </rPr>
      <t xml:space="preserve"> All calculations are in the file </t>
    </r>
    <r>
      <rPr>
        <b/>
        <i/>
        <sz val="10"/>
        <rFont val="Arial"/>
        <family val="2"/>
      </rPr>
      <t>Ch14 Tool Kit.xls.</t>
    </r>
    <r>
      <rPr>
        <b/>
        <sz val="10"/>
        <rFont val="Arial"/>
        <family val="2"/>
      </rPr>
      <t xml:space="preserve"> Excel uses all significant digits in calculations, but numbers in the Figure are rounded, so columns may not total exactly. See Figure 14-1 for income statements and assets.</t>
    </r>
  </si>
  <si>
    <r>
      <t>b</t>
    </r>
    <r>
      <rPr>
        <b/>
        <sz val="10"/>
        <rFont val="Arial"/>
        <family val="2"/>
      </rPr>
      <t xml:space="preserve"> When distributions are made as repurchases, the treasury stock account is reduced by the dollar value of the repurchase at the time of the repurchase, which occurs when short-term investments are liquidated and used to repurchase stock.</t>
    </r>
  </si>
  <si>
    <r>
      <t>c</t>
    </r>
    <r>
      <rPr>
        <b/>
        <sz val="10"/>
        <rFont val="Arial"/>
        <family val="2"/>
      </rPr>
      <t xml:space="preserve"> Because no funds are paid out in dividends, the retained earnings balance is equal to the previous balance plus the year's net income because all net income is being retained.</t>
    </r>
  </si>
  <si>
    <t>Figure 14-3  Application of the Residual Distribution Model to Benson Conglomerate (Millions of Dollars)</t>
  </si>
  <si>
    <r>
      <t>Capital budget</t>
    </r>
    <r>
      <rPr>
        <b/>
        <vertAlign val="superscript"/>
        <sz val="10"/>
        <rFont val="Arial"/>
        <family val="2"/>
      </rPr>
      <t>a</t>
    </r>
  </si>
  <si>
    <r>
      <t>Net income</t>
    </r>
    <r>
      <rPr>
        <b/>
        <vertAlign val="superscript"/>
        <sz val="10"/>
        <rFont val="Arial"/>
        <family val="2"/>
      </rPr>
      <t>b</t>
    </r>
  </si>
  <si>
    <r>
      <t>a</t>
    </r>
    <r>
      <rPr>
        <b/>
        <sz val="10"/>
        <rFont val="Arial"/>
        <family val="2"/>
      </rPr>
      <t xml:space="preserve"> See Figure 14-1 for balance sheet projections. The capital budget is equal to the net addition to total operating capital: (</t>
    </r>
    <r>
      <rPr>
        <b/>
        <sz val="10"/>
        <rFont val="Symbol"/>
        <family val="1"/>
        <charset val="2"/>
      </rPr>
      <t>D</t>
    </r>
    <r>
      <rPr>
        <b/>
        <sz val="10"/>
        <rFont val="Arial"/>
        <family val="2"/>
      </rPr>
      <t xml:space="preserve">Cash + </t>
    </r>
    <r>
      <rPr>
        <b/>
        <sz val="10"/>
        <rFont val="Symbol"/>
        <family val="1"/>
        <charset val="2"/>
      </rPr>
      <t>D</t>
    </r>
    <r>
      <rPr>
        <b/>
        <sz val="10"/>
        <rFont val="Arial"/>
        <family val="2"/>
      </rPr>
      <t xml:space="preserve">Accts. rec. + </t>
    </r>
    <r>
      <rPr>
        <b/>
        <sz val="10"/>
        <rFont val="Symbol"/>
        <family val="1"/>
        <charset val="2"/>
      </rPr>
      <t>D</t>
    </r>
    <r>
      <rPr>
        <b/>
        <sz val="10"/>
        <rFont val="Arial"/>
        <family val="2"/>
      </rPr>
      <t xml:space="preserve">Inventories + </t>
    </r>
    <r>
      <rPr>
        <b/>
        <sz val="10"/>
        <rFont val="Symbol"/>
        <family val="1"/>
        <charset val="2"/>
      </rPr>
      <t>D</t>
    </r>
    <r>
      <rPr>
        <b/>
        <sz val="10"/>
        <rFont val="Arial"/>
        <family val="2"/>
      </rPr>
      <t xml:space="preserve">Net plant &amp; equipment) </t>
    </r>
    <r>
      <rPr>
        <b/>
        <sz val="10"/>
        <rFont val="Times New Roman"/>
        <family val="1"/>
      </rPr>
      <t>−</t>
    </r>
    <r>
      <rPr>
        <b/>
        <sz val="10"/>
        <rFont val="Arial"/>
        <family val="2"/>
      </rPr>
      <t xml:space="preserve"> (</t>
    </r>
    <r>
      <rPr>
        <b/>
        <sz val="10"/>
        <rFont val="Symbol"/>
        <family val="1"/>
        <charset val="2"/>
      </rPr>
      <t>D</t>
    </r>
    <r>
      <rPr>
        <b/>
        <sz val="10"/>
        <rFont val="Arial"/>
        <family val="2"/>
      </rPr>
      <t xml:space="preserve">Accts. pay. + </t>
    </r>
    <r>
      <rPr>
        <b/>
        <sz val="10"/>
        <rFont val="Symbol"/>
        <family val="1"/>
        <charset val="2"/>
      </rPr>
      <t>D</t>
    </r>
    <r>
      <rPr>
        <b/>
        <sz val="10"/>
        <rFont val="Arial"/>
        <family val="2"/>
      </rPr>
      <t>Accruals).</t>
    </r>
  </si>
  <si>
    <r>
      <t>b</t>
    </r>
    <r>
      <rPr>
        <b/>
        <sz val="10"/>
        <rFont val="Arial"/>
        <family val="2"/>
      </rPr>
      <t xml:space="preserve"> See Figure 14-1 for income statement projections.</t>
    </r>
  </si>
  <si>
    <r>
      <t>c</t>
    </r>
    <r>
      <rPr>
        <b/>
        <sz val="10"/>
        <rFont val="Arial"/>
        <family val="2"/>
      </rPr>
      <t xml:space="preserve"> Required additional equity = Captial budget x Target equity ratio.</t>
    </r>
  </si>
  <si>
    <t>Note: we can apply the horizon value formula before the last projected year because FCF is growing at a constant rate from the beginning.</t>
  </si>
  <si>
    <t>Figure 14-4  The Value of Operations (Millions of Dollars)</t>
  </si>
  <si>
    <t xml:space="preserve">Calculation of Free Cash Flow </t>
  </si>
  <si>
    <r>
      <t>j</t>
    </r>
    <r>
      <rPr>
        <b/>
        <sz val="10"/>
        <rFont val="Arial"/>
        <family val="2"/>
      </rPr>
      <t xml:space="preserve"> Value of operations before horizon = V</t>
    </r>
    <r>
      <rPr>
        <b/>
        <vertAlign val="subscript"/>
        <sz val="10"/>
        <rFont val="Arial"/>
        <family val="2"/>
      </rPr>
      <t>op(t)</t>
    </r>
    <r>
      <rPr>
        <b/>
        <sz val="10"/>
        <rFont val="Arial"/>
        <family val="2"/>
      </rPr>
      <t xml:space="preserve"> = (V</t>
    </r>
    <r>
      <rPr>
        <b/>
        <vertAlign val="subscript"/>
        <sz val="10"/>
        <rFont val="Arial"/>
        <family val="2"/>
      </rPr>
      <t>op(t + 1)</t>
    </r>
    <r>
      <rPr>
        <b/>
        <sz val="10"/>
        <rFont val="Arial"/>
        <family val="2"/>
      </rPr>
      <t xml:space="preserve"> + FCF</t>
    </r>
    <r>
      <rPr>
        <b/>
        <vertAlign val="subscript"/>
        <sz val="10"/>
        <rFont val="Arial"/>
        <family val="2"/>
      </rPr>
      <t>t + 1</t>
    </r>
    <r>
      <rPr>
        <b/>
        <sz val="10"/>
        <rFont val="Arial"/>
        <family val="2"/>
      </rPr>
      <t>)/(1+WACC).</t>
    </r>
  </si>
  <si>
    <r>
      <t>i</t>
    </r>
    <r>
      <rPr>
        <b/>
        <sz val="10"/>
        <rFont val="Arial"/>
        <family val="2"/>
      </rPr>
      <t xml:space="preserve"> Horizon value at T = V</t>
    </r>
    <r>
      <rPr>
        <b/>
        <vertAlign val="subscript"/>
        <sz val="10"/>
        <rFont val="Arial"/>
        <family val="2"/>
      </rPr>
      <t>op(T)</t>
    </r>
    <r>
      <rPr>
        <b/>
        <sz val="10"/>
        <rFont val="Arial"/>
        <family val="2"/>
      </rPr>
      <t xml:space="preserve"> = [FCF</t>
    </r>
    <r>
      <rPr>
        <b/>
        <vertAlign val="subscript"/>
        <sz val="10"/>
        <rFont val="Arial"/>
        <family val="2"/>
      </rPr>
      <t xml:space="preserve">T </t>
    </r>
    <r>
      <rPr>
        <b/>
        <sz val="10"/>
        <rFont val="Arial"/>
        <family val="2"/>
      </rPr>
      <t>(1+g)]/(WACC</t>
    </r>
    <r>
      <rPr>
        <b/>
        <sz val="10"/>
        <rFont val="Times New Roman"/>
        <family val="1"/>
      </rPr>
      <t>−</t>
    </r>
    <r>
      <rPr>
        <b/>
        <sz val="10"/>
        <rFont val="Arial"/>
        <family val="2"/>
      </rPr>
      <t>g)</t>
    </r>
  </si>
  <si>
    <r>
      <t>Expected ROIC</t>
    </r>
    <r>
      <rPr>
        <b/>
        <vertAlign val="superscript"/>
        <sz val="10"/>
        <rFont val="Arial"/>
        <family val="2"/>
      </rPr>
      <t>h</t>
    </r>
  </si>
  <si>
    <r>
      <t>h</t>
    </r>
    <r>
      <rPr>
        <b/>
        <sz val="10"/>
        <rFont val="Arial"/>
        <family val="2"/>
      </rPr>
      <t xml:space="preserve"> Expected return on invested capital = NOPAT divided by beginning capital.</t>
    </r>
  </si>
  <si>
    <r>
      <t xml:space="preserve">Panel b: </t>
    </r>
    <r>
      <rPr>
        <b/>
        <i/>
        <sz val="11"/>
        <color indexed="12"/>
        <rFont val="Arial"/>
        <family val="2"/>
      </rPr>
      <t>Distribute as Repurchase</t>
    </r>
  </si>
  <si>
    <r>
      <t>−</t>
    </r>
    <r>
      <rPr>
        <b/>
        <sz val="10"/>
        <rFont val="Arial"/>
        <family val="2"/>
      </rPr>
      <t xml:space="preserve"> Debt</t>
    </r>
  </si>
  <si>
    <t>Intrinsic value of equity</t>
  </si>
  <si>
    <r>
      <t>÷</t>
    </r>
    <r>
      <rPr>
        <b/>
        <u/>
        <sz val="10"/>
        <rFont val="Arial"/>
        <family val="2"/>
      </rPr>
      <t xml:space="preserve"> Number of shares</t>
    </r>
  </si>
  <si>
    <r>
      <t>+</t>
    </r>
    <r>
      <rPr>
        <b/>
        <u/>
        <sz val="10"/>
        <rFont val="Arial"/>
        <family val="2"/>
      </rPr>
      <t xml:space="preserve"> Value of nonoperating assets</t>
    </r>
  </si>
  <si>
    <r>
      <t xml:space="preserve">− </t>
    </r>
    <r>
      <rPr>
        <b/>
        <u/>
        <sz val="10"/>
        <rFont val="Arial"/>
        <family val="2"/>
      </rPr>
      <t>Preferred stock</t>
    </r>
  </si>
  <si>
    <t>Dividend per share</t>
  </si>
  <si>
    <r>
      <t>÷</t>
    </r>
    <r>
      <rPr>
        <b/>
        <u/>
        <sz val="10"/>
        <rFont val="Arial"/>
        <family val="2"/>
      </rPr>
      <t xml:space="preserve"> Number of shares</t>
    </r>
    <r>
      <rPr>
        <b/>
        <u/>
        <vertAlign val="superscript"/>
        <sz val="10"/>
        <rFont val="Arial"/>
        <family val="2"/>
      </rPr>
      <t>a</t>
    </r>
  </si>
  <si>
    <t>Figure 14-5  Intrinsic Stock Price for Each Method of Distribution (Millions of Dollars, Except for Per-Share Data)</t>
  </si>
  <si>
    <r>
      <t>b</t>
    </r>
    <r>
      <rPr>
        <b/>
        <sz val="10"/>
        <color indexed="18"/>
        <rFont val="Arial"/>
        <family val="2"/>
      </rPr>
      <t xml:space="preserve"> The number of shares after the repurchase is: n</t>
    </r>
    <r>
      <rPr>
        <b/>
        <vertAlign val="subscript"/>
        <sz val="10"/>
        <color indexed="18"/>
        <rFont val="Arial"/>
        <family val="2"/>
      </rPr>
      <t>Post</t>
    </r>
    <r>
      <rPr>
        <b/>
        <sz val="10"/>
        <color indexed="18"/>
        <rFont val="Arial"/>
        <family val="2"/>
      </rPr>
      <t xml:space="preserve"> = n</t>
    </r>
    <r>
      <rPr>
        <b/>
        <vertAlign val="subscript"/>
        <sz val="10"/>
        <color indexed="18"/>
        <rFont val="Arial"/>
        <family val="2"/>
      </rPr>
      <t>Prior</t>
    </r>
    <r>
      <rPr>
        <b/>
        <sz val="10"/>
        <color indexed="18"/>
        <rFont val="Arial"/>
        <family val="2"/>
      </rPr>
      <t xml:space="preserve"> </t>
    </r>
    <r>
      <rPr>
        <b/>
        <sz val="10"/>
        <color indexed="18"/>
        <rFont val="Times New Roman"/>
        <family val="1"/>
      </rPr>
      <t xml:space="preserve">− </t>
    </r>
    <r>
      <rPr>
        <b/>
        <sz val="10"/>
        <color indexed="18"/>
        <rFont val="Arial"/>
        <family val="2"/>
      </rPr>
      <t>(Cash</t>
    </r>
    <r>
      <rPr>
        <b/>
        <vertAlign val="subscript"/>
        <sz val="10"/>
        <color indexed="18"/>
        <rFont val="Arial"/>
        <family val="2"/>
      </rPr>
      <t>Rep</t>
    </r>
    <r>
      <rPr>
        <b/>
        <sz val="10"/>
        <color indexed="18"/>
        <rFont val="Arial"/>
        <family val="2"/>
      </rPr>
      <t>/P</t>
    </r>
    <r>
      <rPr>
        <b/>
        <vertAlign val="subscript"/>
        <sz val="10"/>
        <color indexed="18"/>
        <rFont val="Arial"/>
        <family val="2"/>
      </rPr>
      <t>Prior</t>
    </r>
    <r>
      <rPr>
        <b/>
        <sz val="10"/>
        <color indexed="18"/>
        <rFont val="Arial"/>
        <family val="2"/>
      </rPr>
      <t>). In this example, the entire amount of ST investments (i.e., the balance of nonoperating assets) is used to repurchase stock.</t>
    </r>
  </si>
  <si>
    <r>
      <t>Intrinsic price per share</t>
    </r>
    <r>
      <rPr>
        <b/>
        <vertAlign val="superscript"/>
        <sz val="10"/>
        <color indexed="10"/>
        <rFont val="Arial"/>
        <family val="2"/>
      </rPr>
      <t>a</t>
    </r>
  </si>
  <si>
    <r>
      <t>Intrinsic price per share</t>
    </r>
    <r>
      <rPr>
        <b/>
        <vertAlign val="superscript"/>
        <sz val="10"/>
        <color indexed="12"/>
        <rFont val="Arial"/>
        <family val="2"/>
      </rPr>
      <t>a</t>
    </r>
  </si>
  <si>
    <r>
      <t>a</t>
    </r>
    <r>
      <rPr>
        <b/>
        <sz val="10"/>
        <color indexed="18"/>
        <rFont val="Arial"/>
        <family val="2"/>
      </rPr>
      <t xml:space="preserve"> The projected intrinsic stock prices for four years are shown in </t>
    </r>
    <r>
      <rPr>
        <b/>
        <i/>
        <sz val="10"/>
        <color indexed="18"/>
        <rFont val="Arial"/>
        <family val="2"/>
      </rPr>
      <t>Ch14 Tool Kit.xls.</t>
    </r>
  </si>
  <si>
    <r>
      <t xml:space="preserve">A TALE OF TWO CASH DISTRIBUTIONS: DIVIDENDS VERSUS STOCK REPURCHASES   </t>
    </r>
    <r>
      <rPr>
        <b/>
        <sz val="9"/>
        <color indexed="16"/>
        <rFont val="Arial"/>
        <family val="2"/>
      </rPr>
      <t>(</t>
    </r>
    <r>
      <rPr>
        <b/>
        <i/>
        <sz val="9"/>
        <color indexed="16"/>
        <rFont val="Arial"/>
        <family val="2"/>
      </rPr>
      <t>Section 14.9</t>
    </r>
    <r>
      <rPr>
        <b/>
        <sz val="9"/>
        <color indexed="16"/>
        <rFont val="Arial"/>
        <family val="2"/>
      </rPr>
      <t>)</t>
    </r>
  </si>
  <si>
    <r>
      <t>n</t>
    </r>
    <r>
      <rPr>
        <b/>
        <vertAlign val="subscript"/>
        <sz val="10"/>
        <rFont val="Arial"/>
        <family val="2"/>
      </rPr>
      <t>Prior</t>
    </r>
    <r>
      <rPr>
        <b/>
        <sz val="10"/>
        <rFont val="Arial"/>
        <family val="2"/>
      </rPr>
      <t xml:space="preserve"> =</t>
    </r>
  </si>
  <si>
    <t>FCF =</t>
  </si>
  <si>
    <t>g =</t>
  </si>
  <si>
    <t>Prior Repurchase</t>
  </si>
  <si>
    <t>After Repurchase</t>
  </si>
  <si>
    <t>Short-term investments (Extra cash) =</t>
  </si>
  <si>
    <t>Intrinsic stock price</t>
  </si>
  <si>
    <t># shares repurchased =</t>
  </si>
  <si>
    <t>A firm's most recent FCF was $2.4 million; the FCF is expected to grow at a constant rate of 5%. The WACC is 14% and there are 2 million shares outstanding. The firm has $12 million in short-term investments which it plans to liquidate distribute in a stock repurchase; the firm has no other financial investments or debt. Verify that the value of operations is $28 million. Immediately prior to the repurchase, what are the intrinsic value of equity and the intrinsic stock price? How many shares will be repurchased? How many shares will remain after the repurchase? Immediately after the repurchase, what are the intrinsic value of equity and the intrinsic stock price?</t>
  </si>
  <si>
    <t>Accounts payable</t>
  </si>
  <si>
    <r>
      <t>PROCEDURES FOR CASH DISTRIBUTIONS  (</t>
    </r>
    <r>
      <rPr>
        <b/>
        <i/>
        <sz val="11"/>
        <color indexed="16"/>
        <rFont val="Arial"/>
        <family val="2"/>
      </rPr>
      <t>Section 14.2</t>
    </r>
    <r>
      <rPr>
        <b/>
        <sz val="11"/>
        <color indexed="16"/>
        <rFont val="Arial"/>
        <family val="2"/>
      </rPr>
      <t>)</t>
    </r>
  </si>
  <si>
    <t>Declaration date:</t>
  </si>
  <si>
    <t>Dividend goes with stock:</t>
  </si>
  <si>
    <t>Ex-dividend date:</t>
  </si>
  <si>
    <t>Holder-of-record date:</t>
  </si>
  <si>
    <t>Payment date:</t>
  </si>
  <si>
    <t>Sales growth rate</t>
  </si>
  <si>
    <t>Acct. rec. / Sales</t>
  </si>
  <si>
    <t>Acct. pay. / Sales</t>
  </si>
  <si>
    <t>(14–1)</t>
  </si>
  <si>
    <t>Residual Distribution Model</t>
  </si>
  <si>
    <t>Axel Telecommunications has a target capital structure that consists of 70% debt and 30% equity. The company anticipates that its capital budget for the upcoming year will be $3 million. If Axel reports net income of $2 million and follows a residual distribution model with all distributions as dividends, what will be its dividend payout ratio?</t>
  </si>
  <si>
    <t>(14–2)</t>
  </si>
  <si>
    <t>Residual Distribution Policy</t>
  </si>
  <si>
    <t>Petersen Company has a capital budget of $1.2 million. The company wants to maintain a target capital structure which is 60% debt and 40% equity. The company forecasts that its net income this year will be $600,000. If the company follows a residual distribution model and pays all distributions as dividends, what will be its payout ratio?</t>
  </si>
  <si>
    <t>Dividend Payout</t>
  </si>
  <si>
    <t>(14–3)</t>
  </si>
  <si>
    <t>The Wei Corporation expects next year’s net income to be $15 million. The firm’s debt ratio is currently 40%. Wei has $12 million of profitable investment opportunities, and it wishes to maintain its existing debt ratio. According to the residual distribution model (assuming all payments are in the form of dividends), how large should Wei’s dividend payout ratio be next year?</t>
  </si>
  <si>
    <t>(14–4)</t>
  </si>
  <si>
    <t>Stock Repurchase</t>
  </si>
  <si>
    <t>A firm has 10 million shares outstanding with a market price of $20 per share. The firm has $25 million in extra cash (short-term investments) that it plans to use in a stock repurchase; the firm has no other financial investments or any debt. What is the firm’s value of operations, and how many shares will remain after the repurchase?</t>
  </si>
  <si>
    <t>(14–5)</t>
  </si>
  <si>
    <t>Stock Split</t>
  </si>
  <si>
    <t>Gamma Medical’s stock trades at $90 a share. The company is contemplating a
3-for-2 stock split. Assuming the stock split will have no effect on the total market
value of its equity, what will be the company’s stock price following the stock split?</t>
  </si>
  <si>
    <t>Answer:Payout is 55%</t>
  </si>
  <si>
    <t>Please show all work</t>
  </si>
  <si>
    <t xml:space="preserve">Answer: </t>
  </si>
  <si>
    <t>Payout is 20% please show all work</t>
  </si>
  <si>
    <t>Answer:  Payout is 52%  Must show all work</t>
  </si>
  <si>
    <t>ANSWER is: Vop = $175 Million   N=8.75 Million</t>
  </si>
  <si>
    <t>MUST show all work</t>
  </si>
  <si>
    <t>Answer is: Po+ $60</t>
  </si>
  <si>
    <t>Must show all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</si>
</sst>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 #,##0.0_);_(* \(#,##0.0\);_(* &quot;-&quot;?_);_(@_)"/>
    <numFmt numFmtId="170" formatCode="_(&quot;$&quot;* #,##0.0_);_(&quot;$&quot;* \(#,##0.0\);_(&quot;$&quot;* &quot;-&quot;_);_(@_)"/>
    <numFmt numFmtId="171" formatCode="m/d/yy;@"/>
    <numFmt numFmtId="172" formatCode="m/d/yyyy;@"/>
    <numFmt numFmtId="173" formatCode="&quot;$&quot;#,##0.0"/>
    <numFmt numFmtId="174" formatCode="m/d;@"/>
    <numFmt numFmtId="175" formatCode="#,##0.0_);\(#,##0.0\)"/>
    <numFmt numFmtId="176" formatCode="&quot;$&quot;#,##0.0_);\(&quot;$&quot;#,##0.0\)"/>
    <numFmt numFmtId="177" formatCode="[$-F800]dddd\,\ mmmm\ dd\,\ yyyy"/>
  </numFmts>
  <fonts count="52" x14ac:knownFonts="1">
    <font>
      <sz val="10"/>
      <name val="Times New Roman"/>
    </font>
    <font>
      <sz val="10"/>
      <name val="Times New Roman"/>
      <family val="1"/>
    </font>
    <font>
      <b/>
      <sz val="11"/>
      <color indexed="16"/>
      <name val="Arial"/>
      <family val="2"/>
    </font>
    <font>
      <b/>
      <sz val="13"/>
      <color indexed="16"/>
      <name val="Arial"/>
      <family val="2"/>
    </font>
    <font>
      <b/>
      <i/>
      <sz val="10"/>
      <color indexed="16"/>
      <name val="Arial"/>
      <family val="2"/>
    </font>
    <font>
      <b/>
      <sz val="10"/>
      <name val="Arial"/>
      <family val="2"/>
    </font>
    <font>
      <b/>
      <vertAlign val="subscript"/>
      <sz val="10"/>
      <name val="Arial"/>
      <family val="2"/>
    </font>
    <font>
      <b/>
      <sz val="10"/>
      <color indexed="12"/>
      <name val="Arial"/>
      <family val="2"/>
    </font>
    <font>
      <b/>
      <sz val="10"/>
      <color indexed="8"/>
      <name val="Arial"/>
      <family val="2"/>
    </font>
    <font>
      <sz val="10"/>
      <name val="Arial"/>
      <family val="2"/>
    </font>
    <font>
      <sz val="8"/>
      <name val="Times New Roman"/>
      <family val="1"/>
    </font>
    <font>
      <b/>
      <sz val="10"/>
      <color indexed="18"/>
      <name val="Arial"/>
      <family val="2"/>
    </font>
    <font>
      <b/>
      <sz val="8"/>
      <color indexed="18"/>
      <name val="Arial"/>
      <family val="2"/>
    </font>
    <font>
      <b/>
      <sz val="12"/>
      <color indexed="16"/>
      <name val="Arial"/>
      <family val="2"/>
    </font>
    <font>
      <b/>
      <sz val="10"/>
      <color indexed="16"/>
      <name val="Arial"/>
      <family val="2"/>
    </font>
    <font>
      <b/>
      <vertAlign val="subscript"/>
      <sz val="10"/>
      <color indexed="8"/>
      <name val="Arial"/>
      <family val="2"/>
    </font>
    <font>
      <b/>
      <sz val="9"/>
      <color indexed="16"/>
      <name val="Arial"/>
      <family val="2"/>
    </font>
    <font>
      <b/>
      <i/>
      <sz val="9"/>
      <color indexed="16"/>
      <name val="Arial"/>
      <family val="2"/>
    </font>
    <font>
      <b/>
      <i/>
      <sz val="11"/>
      <color indexed="16"/>
      <name val="Arial"/>
      <family val="2"/>
    </font>
    <font>
      <sz val="10"/>
      <name val="Arial"/>
      <family val="2"/>
    </font>
    <font>
      <b/>
      <u/>
      <sz val="10"/>
      <color indexed="12"/>
      <name val="Arial"/>
      <family val="2"/>
    </font>
    <font>
      <b/>
      <u val="singleAccounting"/>
      <sz val="10"/>
      <color indexed="12"/>
      <name val="Arial"/>
      <family val="2"/>
    </font>
    <font>
      <b/>
      <u/>
      <sz val="10"/>
      <name val="Arial"/>
      <family val="2"/>
    </font>
    <font>
      <sz val="10"/>
      <color indexed="10"/>
      <name val="Arial"/>
      <family val="2"/>
    </font>
    <font>
      <b/>
      <u val="singleAccounting"/>
      <sz val="10"/>
      <name val="Arial"/>
      <family val="2"/>
    </font>
    <font>
      <b/>
      <i/>
      <sz val="10"/>
      <name val="Arial"/>
      <family val="2"/>
    </font>
    <font>
      <b/>
      <u val="doubleAccounting"/>
      <sz val="10"/>
      <name val="Arial"/>
      <family val="2"/>
    </font>
    <font>
      <b/>
      <u val="doubleAccounting"/>
      <sz val="10"/>
      <color indexed="12"/>
      <name val="Arial"/>
      <family val="2"/>
    </font>
    <font>
      <b/>
      <u/>
      <sz val="10"/>
      <color indexed="16"/>
      <name val="Arial"/>
      <family val="2"/>
    </font>
    <font>
      <b/>
      <u val="doubleAccounting"/>
      <sz val="10"/>
      <color indexed="16"/>
      <name val="Arial"/>
      <family val="2"/>
    </font>
    <font>
      <b/>
      <sz val="10"/>
      <name val="Symbol"/>
      <family val="1"/>
      <charset val="2"/>
    </font>
    <font>
      <b/>
      <vertAlign val="superscript"/>
      <sz val="10"/>
      <name val="Arial"/>
      <family val="2"/>
    </font>
    <font>
      <b/>
      <sz val="10"/>
      <name val="Times New Roman"/>
      <family val="1"/>
    </font>
    <font>
      <b/>
      <i/>
      <sz val="10"/>
      <color indexed="12"/>
      <name val="Arial"/>
      <family val="2"/>
    </font>
    <font>
      <b/>
      <i/>
      <vertAlign val="superscript"/>
      <sz val="10"/>
      <color indexed="12"/>
      <name val="Arial"/>
      <family val="2"/>
    </font>
    <font>
      <b/>
      <u/>
      <sz val="10"/>
      <color indexed="18"/>
      <name val="Arial"/>
      <family val="2"/>
    </font>
    <font>
      <b/>
      <u val="doubleAccounting"/>
      <sz val="10"/>
      <color indexed="18"/>
      <name val="Arial"/>
      <family val="2"/>
    </font>
    <font>
      <b/>
      <i/>
      <sz val="11"/>
      <color indexed="10"/>
      <name val="Arial"/>
      <family val="2"/>
    </font>
    <font>
      <b/>
      <i/>
      <sz val="11"/>
      <color indexed="12"/>
      <name val="Arial"/>
      <family val="2"/>
    </font>
    <font>
      <b/>
      <i/>
      <sz val="10"/>
      <color indexed="10"/>
      <name val="Arial"/>
      <family val="2"/>
    </font>
    <font>
      <b/>
      <u val="doubleAccounting"/>
      <sz val="10"/>
      <color indexed="10"/>
      <name val="Arial"/>
      <family val="2"/>
    </font>
    <font>
      <b/>
      <sz val="10"/>
      <color indexed="10"/>
      <name val="Arial"/>
      <family val="2"/>
    </font>
    <font>
      <b/>
      <u/>
      <sz val="11"/>
      <name val="Arial"/>
      <family val="2"/>
    </font>
    <font>
      <b/>
      <sz val="11"/>
      <name val="Arial"/>
      <family val="2"/>
    </font>
    <font>
      <b/>
      <u/>
      <vertAlign val="superscript"/>
      <sz val="10"/>
      <name val="Arial"/>
      <family val="2"/>
    </font>
    <font>
      <b/>
      <sz val="10"/>
      <color indexed="18"/>
      <name val="Times New Roman"/>
      <family val="1"/>
    </font>
    <font>
      <b/>
      <vertAlign val="superscript"/>
      <sz val="10"/>
      <color indexed="18"/>
      <name val="Arial"/>
      <family val="2"/>
    </font>
    <font>
      <b/>
      <vertAlign val="subscript"/>
      <sz val="10"/>
      <color indexed="18"/>
      <name val="Arial"/>
      <family val="2"/>
    </font>
    <font>
      <b/>
      <vertAlign val="superscript"/>
      <sz val="10"/>
      <color indexed="10"/>
      <name val="Arial"/>
      <family val="2"/>
    </font>
    <font>
      <b/>
      <vertAlign val="superscript"/>
      <sz val="10"/>
      <color indexed="12"/>
      <name val="Arial"/>
      <family val="2"/>
    </font>
    <font>
      <b/>
      <i/>
      <sz val="10"/>
      <color indexed="18"/>
      <name val="Arial"/>
      <family val="2"/>
    </font>
    <font>
      <sz val="10"/>
      <color indexed="81"/>
      <name val="Tahoma"/>
      <family val="2"/>
    </font>
  </fonts>
  <fills count="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9" fontId="1" fillId="0" borderId="0" applyFont="0" applyFill="0" applyBorder="0" applyAlignment="0" applyProtection="0"/>
  </cellStyleXfs>
  <cellXfs count="501">
    <xf numFmtId="0" fontId="0" fillId="0" borderId="0" xfId="0"/>
    <xf numFmtId="0" fontId="3" fillId="0" borderId="0" xfId="0" applyFont="1"/>
    <xf numFmtId="0" fontId="4" fillId="0" borderId="0" xfId="0" applyFont="1"/>
    <xf numFmtId="0" fontId="5" fillId="0" borderId="0" xfId="0" applyFont="1"/>
    <xf numFmtId="165" fontId="7" fillId="0" borderId="0" xfId="0" applyNumberFormat="1" applyFont="1"/>
    <xf numFmtId="9" fontId="7" fillId="0" borderId="0" xfId="0" applyNumberFormat="1" applyFont="1"/>
    <xf numFmtId="6" fontId="5" fillId="2" borderId="1" xfId="0" applyNumberFormat="1" applyFont="1" applyFill="1" applyBorder="1"/>
    <xf numFmtId="3" fontId="7" fillId="0" borderId="0" xfId="0" applyNumberFormat="1" applyFont="1"/>
    <xf numFmtId="0" fontId="3" fillId="0" borderId="0" xfId="3" applyFont="1"/>
    <xf numFmtId="0" fontId="9" fillId="0" borderId="0" xfId="3"/>
    <xf numFmtId="0" fontId="4" fillId="0" borderId="0" xfId="3" applyFont="1"/>
    <xf numFmtId="0" fontId="5" fillId="0" borderId="0" xfId="3" applyFont="1"/>
    <xf numFmtId="165" fontId="5" fillId="0" borderId="0" xfId="3" applyNumberFormat="1" applyFont="1"/>
    <xf numFmtId="3" fontId="5" fillId="0" borderId="0" xfId="3" applyNumberFormat="1" applyFont="1"/>
    <xf numFmtId="0" fontId="5" fillId="0" borderId="0" xfId="3" applyFont="1" applyFill="1" applyBorder="1"/>
    <xf numFmtId="3" fontId="5" fillId="0" borderId="0" xfId="3" applyNumberFormat="1" applyFont="1" applyFill="1" applyBorder="1"/>
    <xf numFmtId="166" fontId="5" fillId="0" borderId="0" xfId="3" applyNumberFormat="1" applyFont="1" applyFill="1" applyBorder="1"/>
    <xf numFmtId="166" fontId="5" fillId="0" borderId="0" xfId="4" applyNumberFormat="1" applyFont="1" applyFill="1" applyBorder="1"/>
    <xf numFmtId="3" fontId="7" fillId="0" borderId="0" xfId="3" applyNumberFormat="1" applyFont="1"/>
    <xf numFmtId="165" fontId="7" fillId="0" borderId="0" xfId="3" applyNumberFormat="1" applyFont="1"/>
    <xf numFmtId="0" fontId="7" fillId="0" borderId="0" xfId="3" applyFont="1"/>
    <xf numFmtId="3" fontId="5" fillId="2" borderId="2" xfId="3" applyNumberFormat="1" applyFont="1" applyFill="1" applyBorder="1"/>
    <xf numFmtId="166" fontId="5" fillId="2" borderId="2" xfId="3" applyNumberFormat="1" applyFont="1" applyFill="1" applyBorder="1"/>
    <xf numFmtId="0" fontId="11" fillId="0" borderId="0" xfId="0" applyFont="1"/>
    <xf numFmtId="22" fontId="12" fillId="0" borderId="0" xfId="0" applyNumberFormat="1" applyFont="1" applyAlignment="1">
      <alignment horizontal="center"/>
    </xf>
    <xf numFmtId="14" fontId="11" fillId="0" borderId="0" xfId="0" applyNumberFormat="1" applyFont="1"/>
    <xf numFmtId="0" fontId="13" fillId="0" borderId="0" xfId="0" applyFont="1" applyAlignment="1">
      <alignment horizontal="center"/>
    </xf>
    <xf numFmtId="0" fontId="14" fillId="0" borderId="0" xfId="0" applyFont="1"/>
    <xf numFmtId="0" fontId="8" fillId="0" borderId="0" xfId="0" applyFont="1"/>
    <xf numFmtId="6" fontId="7" fillId="0" borderId="0" xfId="0" applyNumberFormat="1" applyFont="1"/>
    <xf numFmtId="0" fontId="5" fillId="0" borderId="0" xfId="0" quotePrefix="1" applyFont="1" applyAlignment="1">
      <alignment horizontal="center"/>
    </xf>
    <xf numFmtId="6" fontId="5" fillId="0" borderId="0" xfId="0" applyNumberFormat="1" applyFont="1" applyAlignment="1">
      <alignment horizontal="center"/>
    </xf>
    <xf numFmtId="0" fontId="5" fillId="0" borderId="0" xfId="0" applyFont="1" applyAlignment="1">
      <alignment horizontal="center"/>
    </xf>
    <xf numFmtId="9" fontId="5" fillId="0" borderId="0" xfId="0" applyNumberFormat="1" applyFont="1" applyAlignment="1">
      <alignment horizontal="center"/>
    </xf>
    <xf numFmtId="0" fontId="8" fillId="3" borderId="3" xfId="0" quotePrefix="1" applyFont="1" applyFill="1" applyBorder="1" applyAlignment="1">
      <alignment horizontal="center"/>
    </xf>
    <xf numFmtId="6" fontId="8" fillId="3" borderId="4" xfId="0" applyNumberFormat="1" applyFont="1" applyFill="1" applyBorder="1" applyAlignment="1">
      <alignment horizontal="center"/>
    </xf>
    <xf numFmtId="8" fontId="7" fillId="0" borderId="0" xfId="0" applyNumberFormat="1" applyFont="1"/>
    <xf numFmtId="0" fontId="8" fillId="3" borderId="3" xfId="0" applyFont="1" applyFill="1" applyBorder="1" applyAlignment="1">
      <alignment horizontal="center"/>
    </xf>
    <xf numFmtId="0" fontId="8" fillId="0" borderId="0" xfId="0" applyFont="1" applyBorder="1" applyAlignment="1">
      <alignment vertical="top" wrapText="1"/>
    </xf>
    <xf numFmtId="0" fontId="8" fillId="0" borderId="0" xfId="0" applyFont="1" applyBorder="1" applyAlignment="1">
      <alignment horizontal="right" vertical="top" wrapText="1"/>
    </xf>
    <xf numFmtId="0" fontId="8" fillId="0" borderId="0" xfId="0" applyFont="1" applyBorder="1" applyAlignment="1">
      <alignment vertical="top"/>
    </xf>
    <xf numFmtId="6" fontId="7" fillId="0" borderId="0" xfId="0" applyNumberFormat="1" applyFont="1" applyBorder="1" applyAlignment="1">
      <alignment vertical="top" wrapText="1"/>
    </xf>
    <xf numFmtId="6" fontId="8" fillId="0" borderId="0" xfId="0" applyNumberFormat="1" applyFont="1" applyBorder="1" applyAlignment="1">
      <alignment vertical="top" wrapText="1"/>
    </xf>
    <xf numFmtId="9" fontId="8" fillId="0" borderId="0" xfId="0" applyNumberFormat="1" applyFont="1" applyBorder="1" applyAlignment="1">
      <alignment vertical="top" wrapText="1"/>
    </xf>
    <xf numFmtId="0" fontId="7" fillId="0" borderId="0" xfId="0" applyFont="1"/>
    <xf numFmtId="0" fontId="7" fillId="0" borderId="0" xfId="0" applyFont="1" applyAlignment="1">
      <alignment horizontal="right"/>
    </xf>
    <xf numFmtId="164" fontId="7" fillId="2" borderId="2" xfId="4" applyNumberFormat="1" applyFont="1" applyFill="1" applyBorder="1"/>
    <xf numFmtId="0" fontId="11" fillId="3" borderId="5" xfId="0" applyFont="1" applyFill="1" applyBorder="1"/>
    <xf numFmtId="0" fontId="11" fillId="3" borderId="6" xfId="0" applyFont="1" applyFill="1" applyBorder="1"/>
    <xf numFmtId="0" fontId="11" fillId="3" borderId="7" xfId="0" applyFont="1" applyFill="1" applyBorder="1"/>
    <xf numFmtId="0" fontId="2" fillId="0" borderId="0" xfId="0" applyFont="1" applyAlignment="1">
      <alignment wrapText="1"/>
    </xf>
    <xf numFmtId="0" fontId="11" fillId="0" borderId="0" xfId="0" applyFont="1" applyFill="1"/>
    <xf numFmtId="0" fontId="5" fillId="3" borderId="0" xfId="0" applyFont="1" applyFill="1" applyBorder="1"/>
    <xf numFmtId="174" fontId="28" fillId="4" borderId="8" xfId="0" quotePrefix="1" applyNumberFormat="1" applyFont="1" applyFill="1" applyBorder="1" applyAlignment="1">
      <alignment horizontal="right" indent="1"/>
    </xf>
    <xf numFmtId="173" fontId="14" fillId="4" borderId="8" xfId="2" applyNumberFormat="1" applyFont="1" applyFill="1" applyBorder="1" applyAlignment="1">
      <alignment horizontal="right" indent="1"/>
    </xf>
    <xf numFmtId="167" fontId="14" fillId="4" borderId="8" xfId="2" applyNumberFormat="1" applyFont="1" applyFill="1" applyBorder="1" applyAlignment="1">
      <alignment horizontal="right" indent="1"/>
    </xf>
    <xf numFmtId="167" fontId="28" fillId="4" borderId="8" xfId="2" applyNumberFormat="1" applyFont="1" applyFill="1" applyBorder="1" applyAlignment="1">
      <alignment horizontal="right" indent="1"/>
    </xf>
    <xf numFmtId="173" fontId="28" fillId="4" borderId="8" xfId="2" applyNumberFormat="1" applyFont="1" applyFill="1" applyBorder="1" applyAlignment="1">
      <alignment horizontal="right" indent="1"/>
    </xf>
    <xf numFmtId="4" fontId="5"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169" fontId="5" fillId="3" borderId="0" xfId="0" applyNumberFormat="1" applyFont="1" applyFill="1" applyBorder="1"/>
    <xf numFmtId="166" fontId="5" fillId="3" borderId="0" xfId="0" applyNumberFormat="1" applyFont="1" applyFill="1" applyBorder="1" applyAlignment="1">
      <alignment horizontal="right" indent="1"/>
    </xf>
    <xf numFmtId="4" fontId="24" fillId="3" borderId="0" xfId="0" applyNumberFormat="1" applyFont="1" applyFill="1" applyBorder="1" applyAlignment="1">
      <alignment horizontal="right" indent="1"/>
    </xf>
    <xf numFmtId="174" fontId="28" fillId="4" borderId="0" xfId="0" quotePrefix="1" applyNumberFormat="1" applyFont="1" applyFill="1" applyBorder="1" applyAlignment="1">
      <alignment horizontal="right" indent="1"/>
    </xf>
    <xf numFmtId="173" fontId="14" fillId="4" borderId="0" xfId="2" applyNumberFormat="1" applyFont="1" applyFill="1" applyBorder="1" applyAlignment="1">
      <alignment horizontal="right" indent="1"/>
    </xf>
    <xf numFmtId="173" fontId="5" fillId="3" borderId="0" xfId="2" applyNumberFormat="1" applyFont="1" applyFill="1" applyBorder="1" applyAlignment="1">
      <alignment horizontal="right" indent="1"/>
    </xf>
    <xf numFmtId="167" fontId="14" fillId="4" borderId="0" xfId="2" applyNumberFormat="1" applyFont="1" applyFill="1" applyBorder="1" applyAlignment="1">
      <alignment horizontal="right" indent="1"/>
    </xf>
    <xf numFmtId="167" fontId="5" fillId="3" borderId="0" xfId="2" applyNumberFormat="1" applyFont="1" applyFill="1" applyBorder="1" applyAlignment="1">
      <alignment horizontal="right" indent="1"/>
    </xf>
    <xf numFmtId="167" fontId="28" fillId="4" borderId="0" xfId="2" applyNumberFormat="1" applyFont="1" applyFill="1" applyBorder="1" applyAlignment="1">
      <alignment horizontal="right" indent="1"/>
    </xf>
    <xf numFmtId="167" fontId="22" fillId="3" borderId="0" xfId="2" applyNumberFormat="1" applyFont="1" applyFill="1" applyBorder="1" applyAlignment="1">
      <alignment horizontal="right" indent="1"/>
    </xf>
    <xf numFmtId="173" fontId="22" fillId="3" borderId="0" xfId="2" applyNumberFormat="1" applyFont="1" applyFill="1" applyBorder="1" applyAlignment="1">
      <alignment horizontal="right" indent="1"/>
    </xf>
    <xf numFmtId="174" fontId="20" fillId="4" borderId="9" xfId="0" quotePrefix="1" applyNumberFormat="1" applyFont="1" applyFill="1" applyBorder="1" applyAlignment="1">
      <alignment horizontal="right" indent="1"/>
    </xf>
    <xf numFmtId="173" fontId="14" fillId="4" borderId="10" xfId="2" applyNumberFormat="1" applyFont="1" applyFill="1" applyBorder="1" applyAlignment="1">
      <alignment horizontal="right" indent="1"/>
    </xf>
    <xf numFmtId="173" fontId="7" fillId="4" borderId="9" xfId="2" applyNumberFormat="1" applyFont="1" applyFill="1" applyBorder="1" applyAlignment="1">
      <alignment horizontal="right" indent="1"/>
    </xf>
    <xf numFmtId="167" fontId="14" fillId="4" borderId="10" xfId="2" applyNumberFormat="1" applyFont="1" applyFill="1" applyBorder="1" applyAlignment="1">
      <alignment horizontal="right" indent="1"/>
    </xf>
    <xf numFmtId="167" fontId="7" fillId="4" borderId="9" xfId="2" applyNumberFormat="1" applyFont="1" applyFill="1" applyBorder="1" applyAlignment="1">
      <alignment horizontal="right" indent="1"/>
    </xf>
    <xf numFmtId="167" fontId="28" fillId="4" borderId="10" xfId="2" applyNumberFormat="1" applyFont="1" applyFill="1" applyBorder="1" applyAlignment="1">
      <alignment horizontal="right" indent="1"/>
    </xf>
    <xf numFmtId="167" fontId="20" fillId="4" borderId="9" xfId="2" applyNumberFormat="1" applyFont="1" applyFill="1" applyBorder="1" applyAlignment="1">
      <alignment horizontal="right" indent="1"/>
    </xf>
    <xf numFmtId="173" fontId="28" fillId="4" borderId="10" xfId="2" applyNumberFormat="1" applyFont="1" applyFill="1" applyBorder="1" applyAlignment="1">
      <alignment horizontal="right" indent="1"/>
    </xf>
    <xf numFmtId="173" fontId="20" fillId="4" borderId="9" xfId="2" applyNumberFormat="1" applyFont="1" applyFill="1" applyBorder="1" applyAlignment="1">
      <alignment horizontal="right" indent="1"/>
    </xf>
    <xf numFmtId="1" fontId="7" fillId="4" borderId="11" xfId="0" applyNumberFormat="1" applyFont="1" applyFill="1" applyBorder="1" applyAlignment="1">
      <alignment horizontal="center"/>
    </xf>
    <xf numFmtId="173" fontId="14" fillId="3" borderId="0" xfId="2" applyNumberFormat="1" applyFont="1" applyFill="1" applyBorder="1" applyAlignment="1">
      <alignment horizontal="right" indent="1"/>
    </xf>
    <xf numFmtId="173" fontId="7" fillId="3" borderId="0" xfId="2" applyNumberFormat="1" applyFont="1" applyFill="1" applyBorder="1" applyAlignment="1">
      <alignment horizontal="right" indent="1"/>
    </xf>
    <xf numFmtId="0" fontId="11" fillId="0" borderId="0" xfId="0" applyFont="1" applyAlignment="1">
      <alignment vertical="center"/>
    </xf>
    <xf numFmtId="0" fontId="7" fillId="3" borderId="12" xfId="0" applyFont="1" applyFill="1" applyBorder="1"/>
    <xf numFmtId="0" fontId="5" fillId="3" borderId="13" xfId="0" applyFont="1" applyFill="1" applyBorder="1"/>
    <xf numFmtId="170" fontId="5" fillId="3" borderId="13" xfId="2" applyNumberFormat="1" applyFont="1" applyFill="1" applyBorder="1"/>
    <xf numFmtId="0" fontId="11" fillId="3" borderId="14" xfId="0" applyFont="1" applyFill="1" applyBorder="1"/>
    <xf numFmtId="0" fontId="5" fillId="3" borderId="8" xfId="0" applyFont="1" applyFill="1" applyBorder="1"/>
    <xf numFmtId="170" fontId="5" fillId="3" borderId="0" xfId="2" applyNumberFormat="1" applyFont="1" applyFill="1" applyBorder="1"/>
    <xf numFmtId="0" fontId="11" fillId="3" borderId="15" xfId="0" applyFont="1" applyFill="1" applyBorder="1"/>
    <xf numFmtId="173" fontId="5" fillId="3" borderId="0" xfId="2" applyNumberFormat="1" applyFont="1" applyFill="1" applyBorder="1"/>
    <xf numFmtId="0" fontId="11" fillId="3" borderId="15" xfId="0" applyFont="1" applyFill="1" applyBorder="1" applyAlignment="1">
      <alignment vertical="center"/>
    </xf>
    <xf numFmtId="0" fontId="25" fillId="3" borderId="8" xfId="0" applyFont="1" applyFill="1" applyBorder="1"/>
    <xf numFmtId="0" fontId="5" fillId="3" borderId="0" xfId="0" applyFont="1" applyFill="1" applyBorder="1" applyAlignment="1">
      <alignment horizontal="right" indent="1"/>
    </xf>
    <xf numFmtId="0" fontId="5" fillId="3" borderId="0" xfId="0" applyFont="1" applyFill="1" applyBorder="1" applyAlignment="1">
      <alignment horizontal="right"/>
    </xf>
    <xf numFmtId="0" fontId="31" fillId="3" borderId="16" xfId="0" applyFont="1" applyFill="1" applyBorder="1"/>
    <xf numFmtId="0" fontId="5" fillId="3" borderId="17" xfId="0" applyFont="1" applyFill="1" applyBorder="1"/>
    <xf numFmtId="173" fontId="5" fillId="3" borderId="17" xfId="2" applyNumberFormat="1" applyFont="1" applyFill="1" applyBorder="1" applyAlignment="1">
      <alignment horizontal="right" indent="1"/>
    </xf>
    <xf numFmtId="173" fontId="14" fillId="3" borderId="17" xfId="2" applyNumberFormat="1" applyFont="1" applyFill="1" applyBorder="1" applyAlignment="1">
      <alignment horizontal="right" indent="1"/>
    </xf>
    <xf numFmtId="173" fontId="7" fillId="3" borderId="17" xfId="2" applyNumberFormat="1" applyFont="1" applyFill="1" applyBorder="1" applyAlignment="1">
      <alignment horizontal="right" indent="1"/>
    </xf>
    <xf numFmtId="0" fontId="11" fillId="3" borderId="18" xfId="0" applyFont="1" applyFill="1" applyBorder="1"/>
    <xf numFmtId="0" fontId="7" fillId="3" borderId="13" xfId="0" applyFont="1" applyFill="1" applyBorder="1" applyAlignment="1">
      <alignment horizontal="left"/>
    </xf>
    <xf numFmtId="0" fontId="11" fillId="3" borderId="13" xfId="0" applyFont="1" applyFill="1" applyBorder="1" applyAlignment="1">
      <alignment horizontal="left"/>
    </xf>
    <xf numFmtId="0" fontId="11" fillId="3" borderId="13" xfId="0" applyFont="1" applyFill="1" applyBorder="1"/>
    <xf numFmtId="0" fontId="5" fillId="3" borderId="8" xfId="0" applyFont="1" applyFill="1" applyBorder="1" applyAlignment="1">
      <alignment horizontal="left"/>
    </xf>
    <xf numFmtId="0" fontId="5" fillId="3" borderId="0" xfId="0" applyFont="1" applyFill="1" applyBorder="1" applyAlignment="1">
      <alignment horizontal="left"/>
    </xf>
    <xf numFmtId="0" fontId="11" fillId="3" borderId="0" xfId="0" applyFont="1" applyFill="1" applyBorder="1"/>
    <xf numFmtId="0" fontId="7" fillId="3" borderId="0" xfId="0" applyFont="1" applyFill="1" applyBorder="1" applyAlignment="1">
      <alignment horizontal="left"/>
    </xf>
    <xf numFmtId="14" fontId="22" fillId="3" borderId="0" xfId="0" applyNumberFormat="1" applyFont="1" applyFill="1" applyBorder="1" applyAlignment="1">
      <alignment horizontal="right" indent="1"/>
    </xf>
    <xf numFmtId="9" fontId="5" fillId="3" borderId="0" xfId="4" applyNumberFormat="1" applyFont="1" applyFill="1" applyBorder="1" applyAlignment="1">
      <alignment horizontal="right" indent="1"/>
    </xf>
    <xf numFmtId="164" fontId="7" fillId="3" borderId="0" xfId="4" applyNumberFormat="1" applyFont="1" applyFill="1" applyBorder="1"/>
    <xf numFmtId="164" fontId="7" fillId="3" borderId="0" xfId="4" applyNumberFormat="1" applyFont="1" applyFill="1" applyBorder="1" applyAlignment="1">
      <alignment horizontal="right" indent="1"/>
    </xf>
    <xf numFmtId="167" fontId="24" fillId="3" borderId="0" xfId="1" applyNumberFormat="1" applyFont="1" applyFill="1" applyBorder="1" applyAlignment="1">
      <alignment horizontal="right" indent="1"/>
    </xf>
    <xf numFmtId="0" fontId="5" fillId="3" borderId="8" xfId="0" applyFont="1" applyFill="1" applyBorder="1" applyAlignment="1">
      <alignment horizontal="right" vertical="center" indent="1"/>
    </xf>
    <xf numFmtId="0" fontId="5" fillId="3" borderId="0" xfId="0" applyFont="1" applyFill="1" applyBorder="1" applyAlignment="1">
      <alignment horizontal="right" vertical="center" indent="1"/>
    </xf>
    <xf numFmtId="173" fontId="26" fillId="3" borderId="0" xfId="2" applyNumberFormat="1" applyFont="1" applyFill="1" applyBorder="1" applyAlignment="1">
      <alignment horizontal="right" vertical="center" indent="1"/>
    </xf>
    <xf numFmtId="0" fontId="5" fillId="3" borderId="0" xfId="0" applyFont="1" applyFill="1" applyBorder="1" applyAlignment="1">
      <alignment vertical="center"/>
    </xf>
    <xf numFmtId="166" fontId="5" fillId="4" borderId="0" xfId="0" applyNumberFormat="1" applyFont="1" applyFill="1" applyBorder="1" applyAlignment="1">
      <alignment horizontal="right" indent="4"/>
    </xf>
    <xf numFmtId="0" fontId="25" fillId="3" borderId="0" xfId="0" applyFont="1" applyFill="1" applyBorder="1" applyAlignment="1"/>
    <xf numFmtId="0" fontId="7" fillId="5" borderId="19" xfId="0" applyFont="1" applyFill="1" applyBorder="1" applyAlignment="1">
      <alignment wrapText="1"/>
    </xf>
    <xf numFmtId="0" fontId="7" fillId="5" borderId="4" xfId="0" applyFont="1" applyFill="1" applyBorder="1" applyAlignment="1">
      <alignment wrapText="1"/>
    </xf>
    <xf numFmtId="1" fontId="7" fillId="6" borderId="11" xfId="0" applyNumberFormat="1" applyFont="1" applyFill="1" applyBorder="1" applyAlignment="1">
      <alignment horizontal="center"/>
    </xf>
    <xf numFmtId="174" fontId="28" fillId="6" borderId="10" xfId="0" quotePrefix="1" applyNumberFormat="1" applyFont="1" applyFill="1" applyBorder="1" applyAlignment="1">
      <alignment horizontal="right" indent="1"/>
    </xf>
    <xf numFmtId="174" fontId="20" fillId="6" borderId="9" xfId="0" quotePrefix="1" applyNumberFormat="1" applyFont="1" applyFill="1" applyBorder="1" applyAlignment="1">
      <alignment horizontal="right" indent="1"/>
    </xf>
    <xf numFmtId="173" fontId="14" fillId="6" borderId="10" xfId="2" applyNumberFormat="1" applyFont="1" applyFill="1" applyBorder="1" applyAlignment="1">
      <alignment horizontal="right" indent="1"/>
    </xf>
    <xf numFmtId="173" fontId="7" fillId="6" borderId="9" xfId="2" applyNumberFormat="1" applyFont="1" applyFill="1" applyBorder="1" applyAlignment="1">
      <alignment horizontal="right" indent="1"/>
    </xf>
    <xf numFmtId="167" fontId="14" fillId="6" borderId="10" xfId="2" applyNumberFormat="1" applyFont="1" applyFill="1" applyBorder="1" applyAlignment="1">
      <alignment horizontal="right" indent="1"/>
    </xf>
    <xf numFmtId="167" fontId="7" fillId="6" borderId="9" xfId="2" applyNumberFormat="1" applyFont="1" applyFill="1" applyBorder="1" applyAlignment="1">
      <alignment horizontal="right" indent="1"/>
    </xf>
    <xf numFmtId="167" fontId="28" fillId="6" borderId="10" xfId="2" applyNumberFormat="1" applyFont="1" applyFill="1" applyBorder="1" applyAlignment="1">
      <alignment horizontal="right" indent="1"/>
    </xf>
    <xf numFmtId="167" fontId="20" fillId="6" borderId="9" xfId="2" applyNumberFormat="1" applyFont="1" applyFill="1" applyBorder="1" applyAlignment="1">
      <alignment horizontal="right" indent="1"/>
    </xf>
    <xf numFmtId="173" fontId="28" fillId="6" borderId="10" xfId="2" applyNumberFormat="1" applyFont="1" applyFill="1" applyBorder="1" applyAlignment="1">
      <alignment horizontal="right" indent="1"/>
    </xf>
    <xf numFmtId="173" fontId="20" fillId="6" borderId="9" xfId="2" applyNumberFormat="1" applyFont="1" applyFill="1" applyBorder="1" applyAlignment="1">
      <alignment horizontal="right" indent="1"/>
    </xf>
    <xf numFmtId="1" fontId="7" fillId="6" borderId="20" xfId="0" applyNumberFormat="1" applyFont="1" applyFill="1" applyBorder="1" applyAlignment="1">
      <alignment horizontal="center"/>
    </xf>
    <xf numFmtId="0" fontId="11" fillId="0" borderId="0" xfId="0" applyFont="1" applyBorder="1"/>
    <xf numFmtId="0" fontId="31" fillId="3" borderId="0" xfId="0" applyFont="1" applyFill="1" applyBorder="1" applyAlignment="1">
      <alignment wrapText="1"/>
    </xf>
    <xf numFmtId="0" fontId="19" fillId="3" borderId="13" xfId="0" applyFont="1" applyFill="1" applyBorder="1"/>
    <xf numFmtId="164" fontId="19" fillId="3" borderId="13" xfId="4" applyNumberFormat="1" applyFont="1" applyFill="1" applyBorder="1"/>
    <xf numFmtId="168" fontId="23" fillId="3" borderId="13" xfId="4" applyNumberFormat="1" applyFont="1" applyFill="1" applyBorder="1"/>
    <xf numFmtId="0" fontId="7" fillId="3" borderId="8" xfId="0" applyFont="1" applyFill="1" applyBorder="1"/>
    <xf numFmtId="0" fontId="19" fillId="3" borderId="0" xfId="0" applyFont="1" applyFill="1" applyBorder="1"/>
    <xf numFmtId="164" fontId="19" fillId="3" borderId="0" xfId="4" applyNumberFormat="1" applyFont="1" applyFill="1" applyBorder="1"/>
    <xf numFmtId="168" fontId="23" fillId="3" borderId="0" xfId="4" applyNumberFormat="1" applyFont="1" applyFill="1" applyBorder="1"/>
    <xf numFmtId="0" fontId="7" fillId="3" borderId="8" xfId="0" applyFont="1" applyFill="1" applyBorder="1" applyAlignment="1">
      <alignment horizontal="right"/>
    </xf>
    <xf numFmtId="164" fontId="7" fillId="3" borderId="0" xfId="0" applyNumberFormat="1" applyFont="1" applyFill="1" applyBorder="1" applyAlignment="1">
      <alignment horizontal="left"/>
    </xf>
    <xf numFmtId="0" fontId="5" fillId="3" borderId="8" xfId="0" applyFont="1" applyFill="1" applyBorder="1" applyAlignment="1">
      <alignment vertical="center"/>
    </xf>
    <xf numFmtId="0" fontId="19" fillId="3" borderId="8" xfId="0" applyFont="1" applyFill="1" applyBorder="1"/>
    <xf numFmtId="0" fontId="31" fillId="3" borderId="16" xfId="0" applyFont="1" applyFill="1" applyBorder="1" applyAlignment="1">
      <alignment wrapText="1"/>
    </xf>
    <xf numFmtId="0" fontId="31" fillId="3" borderId="17" xfId="0" applyFont="1" applyFill="1" applyBorder="1" applyAlignment="1">
      <alignment wrapText="1"/>
    </xf>
    <xf numFmtId="169" fontId="5" fillId="3" borderId="17" xfId="0" applyNumberFormat="1" applyFont="1" applyFill="1" applyBorder="1"/>
    <xf numFmtId="166" fontId="5" fillId="4" borderId="8" xfId="0" applyNumberFormat="1" applyFont="1" applyFill="1" applyBorder="1" applyAlignment="1">
      <alignment horizontal="right" indent="4"/>
    </xf>
    <xf numFmtId="166" fontId="5" fillId="4" borderId="15" xfId="0" applyNumberFormat="1" applyFont="1" applyFill="1" applyBorder="1" applyAlignment="1">
      <alignment horizontal="right" indent="4"/>
    </xf>
    <xf numFmtId="169" fontId="5" fillId="4" borderId="8" xfId="0" applyNumberFormat="1" applyFont="1" applyFill="1" applyBorder="1" applyAlignment="1">
      <alignment horizontal="right" indent="4"/>
    </xf>
    <xf numFmtId="169" fontId="5" fillId="4" borderId="15" xfId="0" applyNumberFormat="1" applyFont="1" applyFill="1" applyBorder="1" applyAlignment="1">
      <alignment horizontal="right" indent="4"/>
    </xf>
    <xf numFmtId="168" fontId="23" fillId="4" borderId="8" xfId="4" applyNumberFormat="1" applyFont="1" applyFill="1" applyBorder="1"/>
    <xf numFmtId="168" fontId="23" fillId="4" borderId="15" xfId="4" applyNumberFormat="1" applyFont="1" applyFill="1" applyBorder="1"/>
    <xf numFmtId="0" fontId="5" fillId="4" borderId="8" xfId="0" applyFont="1" applyFill="1" applyBorder="1" applyAlignment="1">
      <alignment horizontal="right"/>
    </xf>
    <xf numFmtId="0" fontId="5" fillId="4" borderId="15" xfId="0" applyFont="1" applyFill="1" applyBorder="1" applyAlignment="1">
      <alignment horizontal="right"/>
    </xf>
    <xf numFmtId="169" fontId="5" fillId="4" borderId="8" xfId="0" applyNumberFormat="1" applyFont="1" applyFill="1" applyBorder="1"/>
    <xf numFmtId="169" fontId="5" fillId="4" borderId="0" xfId="0" applyNumberFormat="1" applyFont="1" applyFill="1" applyBorder="1" applyAlignment="1">
      <alignment horizontal="right" indent="4"/>
    </xf>
    <xf numFmtId="168" fontId="23" fillId="4" borderId="0" xfId="4" applyNumberFormat="1" applyFont="1" applyFill="1" applyBorder="1"/>
    <xf numFmtId="0" fontId="5" fillId="4" borderId="0" xfId="0" applyFont="1" applyFill="1" applyBorder="1" applyAlignment="1">
      <alignment horizontal="right"/>
    </xf>
    <xf numFmtId="169" fontId="5" fillId="4" borderId="0" xfId="0" applyNumberFormat="1" applyFont="1" applyFill="1" applyBorder="1"/>
    <xf numFmtId="0" fontId="7" fillId="5" borderId="13" xfId="0" applyFont="1" applyFill="1" applyBorder="1" applyAlignment="1">
      <alignment wrapText="1"/>
    </xf>
    <xf numFmtId="0" fontId="7" fillId="5" borderId="14" xfId="0" applyFont="1" applyFill="1" applyBorder="1" applyAlignment="1">
      <alignment wrapText="1"/>
    </xf>
    <xf numFmtId="166" fontId="5" fillId="6" borderId="8" xfId="0" applyNumberFormat="1" applyFont="1" applyFill="1" applyBorder="1" applyAlignment="1">
      <alignment horizontal="right" indent="4"/>
    </xf>
    <xf numFmtId="166" fontId="5" fillId="6" borderId="15" xfId="0" applyNumberFormat="1" applyFont="1" applyFill="1" applyBorder="1" applyAlignment="1">
      <alignment horizontal="right" indent="4"/>
    </xf>
    <xf numFmtId="169" fontId="5" fillId="6" borderId="8" xfId="0" applyNumberFormat="1" applyFont="1" applyFill="1" applyBorder="1" applyAlignment="1">
      <alignment horizontal="right" indent="4"/>
    </xf>
    <xf numFmtId="169" fontId="5" fillId="6" borderId="15" xfId="0" applyNumberFormat="1" applyFont="1" applyFill="1" applyBorder="1" applyAlignment="1">
      <alignment horizontal="right" indent="4"/>
    </xf>
    <xf numFmtId="168" fontId="23" fillId="6" borderId="8" xfId="4" applyNumberFormat="1" applyFont="1" applyFill="1" applyBorder="1"/>
    <xf numFmtId="168" fontId="23" fillId="6" borderId="15" xfId="4" applyNumberFormat="1" applyFont="1" applyFill="1" applyBorder="1"/>
    <xf numFmtId="0" fontId="5" fillId="6" borderId="8" xfId="0" applyFont="1" applyFill="1" applyBorder="1" applyAlignment="1">
      <alignment horizontal="right"/>
    </xf>
    <xf numFmtId="0" fontId="5" fillId="6" borderId="15" xfId="0" applyFont="1" applyFill="1" applyBorder="1" applyAlignment="1">
      <alignment horizontal="right"/>
    </xf>
    <xf numFmtId="166" fontId="26" fillId="6" borderId="2" xfId="0" applyNumberFormat="1" applyFont="1" applyFill="1" applyBorder="1" applyAlignment="1">
      <alignment horizontal="right" vertical="center" indent="1"/>
    </xf>
    <xf numFmtId="0" fontId="31" fillId="0" borderId="0" xfId="0" applyFont="1" applyFill="1" applyBorder="1" applyAlignment="1">
      <alignment wrapText="1"/>
    </xf>
    <xf numFmtId="174" fontId="20" fillId="6" borderId="15" xfId="0" quotePrefix="1" applyNumberFormat="1" applyFont="1" applyFill="1" applyBorder="1" applyAlignment="1">
      <alignment horizontal="right" indent="1"/>
    </xf>
    <xf numFmtId="173" fontId="7" fillId="6" borderId="15" xfId="2" applyNumberFormat="1" applyFont="1" applyFill="1" applyBorder="1" applyAlignment="1">
      <alignment horizontal="right" indent="1"/>
    </xf>
    <xf numFmtId="167" fontId="7" fillId="6" borderId="15" xfId="2" applyNumberFormat="1" applyFont="1" applyFill="1" applyBorder="1" applyAlignment="1">
      <alignment horizontal="right" indent="1"/>
    </xf>
    <xf numFmtId="167" fontId="20" fillId="6" borderId="15" xfId="2" applyNumberFormat="1" applyFont="1" applyFill="1" applyBorder="1" applyAlignment="1">
      <alignment horizontal="right" indent="1"/>
    </xf>
    <xf numFmtId="173" fontId="29" fillId="4" borderId="16" xfId="2" applyNumberFormat="1" applyFont="1" applyFill="1" applyBorder="1" applyAlignment="1">
      <alignment horizontal="right" vertical="center" indent="1"/>
    </xf>
    <xf numFmtId="173" fontId="27" fillId="4" borderId="21" xfId="2" applyNumberFormat="1" applyFont="1" applyFill="1" applyBorder="1" applyAlignment="1">
      <alignment horizontal="right" vertical="center" indent="1"/>
    </xf>
    <xf numFmtId="173" fontId="29" fillId="6" borderId="22" xfId="2" applyNumberFormat="1" applyFont="1" applyFill="1" applyBorder="1" applyAlignment="1">
      <alignment horizontal="right" vertical="center" indent="1"/>
    </xf>
    <xf numFmtId="173" fontId="27" fillId="6" borderId="21" xfId="2" applyNumberFormat="1" applyFont="1" applyFill="1" applyBorder="1" applyAlignment="1">
      <alignment horizontal="right" vertical="center" indent="1"/>
    </xf>
    <xf numFmtId="173" fontId="27" fillId="6" borderId="18" xfId="2" applyNumberFormat="1" applyFont="1" applyFill="1" applyBorder="1" applyAlignment="1">
      <alignment horizontal="right" vertical="center" indent="1"/>
    </xf>
    <xf numFmtId="0" fontId="5" fillId="3" borderId="8" xfId="0" applyFont="1" applyFill="1" applyBorder="1" applyAlignment="1">
      <alignment horizontal="right" vertical="center"/>
    </xf>
    <xf numFmtId="0" fontId="5" fillId="3" borderId="0" xfId="0" applyFont="1" applyFill="1" applyBorder="1" applyAlignment="1">
      <alignment horizontal="right" vertical="center"/>
    </xf>
    <xf numFmtId="173" fontId="29" fillId="4" borderId="17" xfId="2" applyNumberFormat="1" applyFont="1" applyFill="1" applyBorder="1" applyAlignment="1">
      <alignment horizontal="right" vertical="center" indent="1"/>
    </xf>
    <xf numFmtId="174" fontId="28" fillId="6" borderId="23" xfId="0" quotePrefix="1" applyNumberFormat="1" applyFont="1" applyFill="1" applyBorder="1" applyAlignment="1">
      <alignment horizontal="right" indent="1"/>
    </xf>
    <xf numFmtId="174" fontId="28" fillId="4" borderId="24" xfId="0" quotePrefix="1" applyNumberFormat="1" applyFont="1" applyFill="1" applyBorder="1" applyAlignment="1">
      <alignment horizontal="right" indent="1"/>
    </xf>
    <xf numFmtId="173" fontId="20" fillId="6" borderId="15" xfId="2" applyNumberFormat="1" applyFont="1" applyFill="1" applyBorder="1" applyAlignment="1">
      <alignment horizontal="right" indent="1"/>
    </xf>
    <xf numFmtId="173" fontId="14" fillId="3" borderId="0" xfId="2" applyNumberFormat="1" applyFont="1" applyFill="1" applyBorder="1" applyAlignment="1">
      <alignment horizontal="right" indent="1" shrinkToFit="1"/>
    </xf>
    <xf numFmtId="173" fontId="7" fillId="3" borderId="0" xfId="2" applyNumberFormat="1" applyFont="1" applyFill="1" applyBorder="1" applyAlignment="1">
      <alignment horizontal="right" indent="1" shrinkToFit="1"/>
    </xf>
    <xf numFmtId="173" fontId="5" fillId="3" borderId="0" xfId="2" applyNumberFormat="1" applyFont="1" applyFill="1" applyBorder="1" applyAlignment="1">
      <alignment horizontal="right" indent="1" shrinkToFit="1"/>
    </xf>
    <xf numFmtId="0" fontId="33" fillId="3" borderId="0" xfId="0" applyFont="1" applyFill="1" applyBorder="1" applyAlignment="1">
      <alignment wrapText="1"/>
    </xf>
    <xf numFmtId="0" fontId="33" fillId="3" borderId="8" xfId="0" applyFont="1" applyFill="1" applyBorder="1" applyAlignment="1">
      <alignment horizontal="left"/>
    </xf>
    <xf numFmtId="0" fontId="33" fillId="3" borderId="0" xfId="0" applyFont="1" applyFill="1" applyBorder="1" applyAlignment="1">
      <alignment horizontal="left"/>
    </xf>
    <xf numFmtId="174" fontId="35" fillId="4" borderId="25" xfId="0" quotePrefix="1" applyNumberFormat="1" applyFont="1" applyFill="1" applyBorder="1" applyAlignment="1">
      <alignment horizontal="right" indent="1"/>
    </xf>
    <xf numFmtId="174" fontId="35" fillId="6" borderId="25" xfId="0" quotePrefix="1" applyNumberFormat="1" applyFont="1" applyFill="1" applyBorder="1" applyAlignment="1">
      <alignment horizontal="right" indent="1"/>
    </xf>
    <xf numFmtId="174" fontId="35" fillId="6" borderId="26" xfId="0" quotePrefix="1" applyNumberFormat="1" applyFont="1" applyFill="1" applyBorder="1" applyAlignment="1">
      <alignment horizontal="right" indent="1"/>
    </xf>
    <xf numFmtId="173" fontId="5" fillId="3" borderId="0" xfId="2" applyNumberFormat="1" applyFont="1" applyFill="1" applyBorder="1" applyAlignment="1"/>
    <xf numFmtId="0" fontId="0" fillId="3" borderId="8" xfId="0" applyFill="1" applyBorder="1" applyAlignment="1"/>
    <xf numFmtId="3" fontId="5" fillId="3" borderId="0" xfId="2" applyNumberFormat="1" applyFont="1" applyFill="1" applyBorder="1" applyAlignment="1">
      <alignment horizontal="right" indent="1"/>
    </xf>
    <xf numFmtId="166" fontId="27" fillId="4" borderId="21" xfId="2" applyNumberFormat="1" applyFont="1" applyFill="1" applyBorder="1" applyAlignment="1">
      <alignment horizontal="right" vertical="center" indent="1"/>
    </xf>
    <xf numFmtId="166" fontId="27" fillId="6" borderId="21" xfId="2" applyNumberFormat="1" applyFont="1" applyFill="1" applyBorder="1" applyAlignment="1">
      <alignment horizontal="right" vertical="center" indent="1"/>
    </xf>
    <xf numFmtId="166" fontId="27" fillId="6" borderId="18" xfId="2" applyNumberFormat="1" applyFont="1" applyFill="1" applyBorder="1" applyAlignment="1">
      <alignment horizontal="right" vertical="center" indent="1"/>
    </xf>
    <xf numFmtId="3" fontId="22" fillId="3" borderId="0" xfId="2" applyNumberFormat="1" applyFont="1" applyFill="1" applyBorder="1" applyAlignment="1">
      <alignment horizontal="right" indent="1"/>
    </xf>
    <xf numFmtId="3" fontId="28" fillId="4" borderId="8" xfId="2" applyNumberFormat="1" applyFont="1" applyFill="1" applyBorder="1" applyAlignment="1">
      <alignment horizontal="right" indent="1"/>
    </xf>
    <xf numFmtId="3" fontId="20" fillId="4" borderId="9" xfId="2" applyNumberFormat="1" applyFont="1" applyFill="1" applyBorder="1" applyAlignment="1">
      <alignment horizontal="right" indent="1"/>
    </xf>
    <xf numFmtId="3" fontId="28" fillId="6" borderId="10" xfId="2" applyNumberFormat="1" applyFont="1" applyFill="1" applyBorder="1" applyAlignment="1">
      <alignment horizontal="right" indent="1"/>
    </xf>
    <xf numFmtId="3" fontId="20" fillId="6" borderId="9" xfId="2" applyNumberFormat="1" applyFont="1" applyFill="1" applyBorder="1" applyAlignment="1">
      <alignment horizontal="right" indent="1"/>
    </xf>
    <xf numFmtId="3" fontId="20" fillId="6" borderId="15" xfId="2" applyNumberFormat="1" applyFont="1" applyFill="1" applyBorder="1" applyAlignment="1">
      <alignment horizontal="right" indent="1"/>
    </xf>
    <xf numFmtId="0" fontId="11" fillId="0" borderId="0" xfId="0" applyFont="1" applyFill="1" applyBorder="1"/>
    <xf numFmtId="0" fontId="33" fillId="3" borderId="8" xfId="0" applyFont="1" applyFill="1" applyBorder="1" applyAlignment="1"/>
    <xf numFmtId="173" fontId="26" fillId="3" borderId="0" xfId="2" applyNumberFormat="1" applyFont="1" applyFill="1" applyBorder="1" applyAlignment="1">
      <alignment horizontal="left" indent="1"/>
    </xf>
    <xf numFmtId="175" fontId="11" fillId="4" borderId="9" xfId="2" applyNumberFormat="1" applyFont="1" applyFill="1" applyBorder="1" applyAlignment="1">
      <alignment horizontal="right" indent="1"/>
    </xf>
    <xf numFmtId="176" fontId="11" fillId="4" borderId="9" xfId="2" applyNumberFormat="1" applyFont="1" applyFill="1" applyBorder="1" applyAlignment="1">
      <alignment horizontal="right" indent="1"/>
    </xf>
    <xf numFmtId="175" fontId="35" fillId="4" borderId="9" xfId="2" applyNumberFormat="1" applyFont="1" applyFill="1" applyBorder="1" applyAlignment="1">
      <alignment horizontal="right" indent="1"/>
    </xf>
    <xf numFmtId="175" fontId="36" fillId="4" borderId="21" xfId="2" applyNumberFormat="1" applyFont="1" applyFill="1" applyBorder="1" applyAlignment="1">
      <alignment horizontal="right" vertical="center" indent="1"/>
    </xf>
    <xf numFmtId="176" fontId="11" fillId="6" borderId="9" xfId="2" applyNumberFormat="1" applyFont="1" applyFill="1" applyBorder="1" applyAlignment="1">
      <alignment horizontal="right" indent="1"/>
    </xf>
    <xf numFmtId="175" fontId="11" fillId="6" borderId="9" xfId="2" applyNumberFormat="1" applyFont="1" applyFill="1" applyBorder="1" applyAlignment="1">
      <alignment horizontal="right" indent="1"/>
    </xf>
    <xf numFmtId="175" fontId="35" fillId="6" borderId="9" xfId="2" applyNumberFormat="1" applyFont="1" applyFill="1" applyBorder="1" applyAlignment="1">
      <alignment horizontal="right" indent="1"/>
    </xf>
    <xf numFmtId="175" fontId="36" fillId="6" borderId="21" xfId="2" applyNumberFormat="1" applyFont="1" applyFill="1" applyBorder="1" applyAlignment="1">
      <alignment horizontal="right" vertical="center" indent="1"/>
    </xf>
    <xf numFmtId="176" fontId="11" fillId="6" borderId="15" xfId="2" applyNumberFormat="1" applyFont="1" applyFill="1" applyBorder="1" applyAlignment="1">
      <alignment horizontal="right" indent="1"/>
    </xf>
    <xf numFmtId="175" fontId="11" fillId="6" borderId="15" xfId="2" applyNumberFormat="1" applyFont="1" applyFill="1" applyBorder="1" applyAlignment="1">
      <alignment horizontal="right" indent="1"/>
    </xf>
    <xf numFmtId="175" fontId="35" fillId="6" borderId="15" xfId="2" applyNumberFormat="1" applyFont="1" applyFill="1" applyBorder="1" applyAlignment="1">
      <alignment horizontal="right" indent="1"/>
    </xf>
    <xf numFmtId="175" fontId="36" fillId="6" borderId="18" xfId="2" applyNumberFormat="1" applyFont="1" applyFill="1" applyBorder="1" applyAlignment="1">
      <alignment horizontal="right" vertical="center" indent="1"/>
    </xf>
    <xf numFmtId="0" fontId="5" fillId="3" borderId="0" xfId="0" applyFont="1" applyFill="1" applyBorder="1" applyAlignment="1">
      <alignment vertical="center" wrapText="1"/>
    </xf>
    <xf numFmtId="0" fontId="5" fillId="3" borderId="0" xfId="0" applyFont="1" applyFill="1" applyBorder="1" applyAlignment="1">
      <alignment horizontal="center"/>
    </xf>
    <xf numFmtId="173" fontId="29" fillId="4" borderId="0" xfId="2" applyNumberFormat="1" applyFont="1" applyFill="1" applyBorder="1" applyAlignment="1">
      <alignment horizontal="right" vertical="center" indent="1"/>
    </xf>
    <xf numFmtId="173" fontId="29" fillId="4" borderId="8" xfId="2" applyNumberFormat="1" applyFont="1" applyFill="1" applyBorder="1" applyAlignment="1">
      <alignment horizontal="right" vertical="center" indent="1"/>
    </xf>
    <xf numFmtId="173" fontId="27" fillId="4" borderId="9" xfId="2" applyNumberFormat="1" applyFont="1" applyFill="1" applyBorder="1" applyAlignment="1">
      <alignment horizontal="right" vertical="center" indent="1"/>
    </xf>
    <xf numFmtId="173" fontId="29" fillId="6" borderId="10" xfId="2" applyNumberFormat="1" applyFont="1" applyFill="1" applyBorder="1" applyAlignment="1">
      <alignment horizontal="right" vertical="center" indent="1"/>
    </xf>
    <xf numFmtId="173" fontId="27" fillId="6" borderId="9" xfId="2" applyNumberFormat="1" applyFont="1" applyFill="1" applyBorder="1" applyAlignment="1">
      <alignment horizontal="right" vertical="center" indent="1"/>
    </xf>
    <xf numFmtId="173" fontId="27" fillId="6" borderId="15" xfId="2" applyNumberFormat="1" applyFont="1" applyFill="1" applyBorder="1" applyAlignment="1">
      <alignment horizontal="right" vertical="center" indent="1"/>
    </xf>
    <xf numFmtId="173" fontId="14" fillId="4" borderId="8" xfId="2" applyNumberFormat="1" applyFont="1" applyFill="1" applyBorder="1" applyAlignment="1">
      <alignment horizontal="right" indent="1" shrinkToFit="1"/>
    </xf>
    <xf numFmtId="173" fontId="14" fillId="6" borderId="15" xfId="2" applyNumberFormat="1" applyFont="1" applyFill="1" applyBorder="1" applyAlignment="1">
      <alignment horizontal="right" indent="1" shrinkToFit="1"/>
    </xf>
    <xf numFmtId="173" fontId="28" fillId="4" borderId="8" xfId="2" applyNumberFormat="1" applyFont="1" applyFill="1" applyBorder="1" applyAlignment="1">
      <alignment horizontal="right" indent="1" shrinkToFit="1"/>
    </xf>
    <xf numFmtId="174" fontId="28" fillId="6" borderId="0" xfId="0" quotePrefix="1" applyNumberFormat="1" applyFont="1" applyFill="1" applyBorder="1" applyAlignment="1">
      <alignment horizontal="right" indent="1"/>
    </xf>
    <xf numFmtId="173" fontId="14" fillId="4" borderId="10" xfId="2" applyNumberFormat="1" applyFont="1" applyFill="1" applyBorder="1" applyAlignment="1">
      <alignment horizontal="right" indent="1" shrinkToFit="1"/>
    </xf>
    <xf numFmtId="173" fontId="14" fillId="4" borderId="9" xfId="2" applyNumberFormat="1" applyFont="1" applyFill="1" applyBorder="1" applyAlignment="1">
      <alignment horizontal="right" indent="1" shrinkToFit="1"/>
    </xf>
    <xf numFmtId="173" fontId="28" fillId="4" borderId="10" xfId="2" applyNumberFormat="1" applyFont="1" applyFill="1" applyBorder="1" applyAlignment="1">
      <alignment horizontal="right" indent="1" shrinkToFit="1"/>
    </xf>
    <xf numFmtId="173" fontId="14" fillId="6" borderId="10" xfId="2" applyNumberFormat="1" applyFont="1" applyFill="1" applyBorder="1" applyAlignment="1">
      <alignment horizontal="right" indent="1" shrinkToFit="1"/>
    </xf>
    <xf numFmtId="173" fontId="14" fillId="6" borderId="9" xfId="2" applyNumberFormat="1" applyFont="1" applyFill="1" applyBorder="1" applyAlignment="1">
      <alignment horizontal="right" indent="1" shrinkToFit="1"/>
    </xf>
    <xf numFmtId="173" fontId="28" fillId="6" borderId="10" xfId="2" applyNumberFormat="1" applyFont="1" applyFill="1" applyBorder="1" applyAlignment="1">
      <alignment horizontal="right" indent="1" shrinkToFit="1"/>
    </xf>
    <xf numFmtId="173" fontId="29" fillId="4" borderId="22" xfId="2" applyNumberFormat="1" applyFont="1" applyFill="1" applyBorder="1" applyAlignment="1">
      <alignment horizontal="right" vertical="center" indent="1"/>
    </xf>
    <xf numFmtId="174" fontId="20" fillId="4" borderId="0" xfId="0" quotePrefix="1" applyNumberFormat="1" applyFont="1" applyFill="1" applyBorder="1" applyAlignment="1">
      <alignment horizontal="right" indent="1"/>
    </xf>
    <xf numFmtId="174" fontId="20" fillId="6" borderId="0" xfId="0" quotePrefix="1" applyNumberFormat="1" applyFont="1" applyFill="1" applyBorder="1" applyAlignment="1">
      <alignment horizontal="right" indent="1"/>
    </xf>
    <xf numFmtId="14" fontId="14" fillId="4" borderId="27" xfId="0" quotePrefix="1" applyNumberFormat="1" applyFont="1" applyFill="1" applyBorder="1" applyAlignment="1">
      <alignment horizontal="left"/>
    </xf>
    <xf numFmtId="14" fontId="14" fillId="6" borderId="28" xfId="0" quotePrefix="1" applyNumberFormat="1" applyFont="1" applyFill="1" applyBorder="1" applyAlignment="1">
      <alignment horizontal="left"/>
    </xf>
    <xf numFmtId="14" fontId="14" fillId="4" borderId="28" xfId="0" quotePrefix="1" applyNumberFormat="1" applyFont="1" applyFill="1" applyBorder="1" applyAlignment="1">
      <alignment horizontal="left"/>
    </xf>
    <xf numFmtId="0" fontId="31" fillId="3" borderId="16" xfId="0" applyFont="1" applyFill="1" applyBorder="1" applyAlignment="1">
      <alignment horizontal="left" wrapText="1"/>
    </xf>
    <xf numFmtId="0" fontId="31" fillId="3" borderId="17" xfId="0" applyFont="1" applyFill="1" applyBorder="1" applyAlignment="1">
      <alignment horizontal="left" wrapText="1"/>
    </xf>
    <xf numFmtId="0" fontId="11" fillId="3" borderId="17" xfId="0" applyFont="1" applyFill="1" applyBorder="1"/>
    <xf numFmtId="176" fontId="14" fillId="6" borderId="10" xfId="2" applyNumberFormat="1" applyFont="1" applyFill="1" applyBorder="1" applyAlignment="1">
      <alignment horizontal="right" indent="1"/>
    </xf>
    <xf numFmtId="175" fontId="14" fillId="6" borderId="10" xfId="2" applyNumberFormat="1" applyFont="1" applyFill="1" applyBorder="1" applyAlignment="1">
      <alignment horizontal="right" indent="1"/>
    </xf>
    <xf numFmtId="175" fontId="28" fillId="6" borderId="10" xfId="2" applyNumberFormat="1" applyFont="1" applyFill="1" applyBorder="1" applyAlignment="1">
      <alignment horizontal="right" indent="1"/>
    </xf>
    <xf numFmtId="175" fontId="29" fillId="6" borderId="22" xfId="2" applyNumberFormat="1" applyFont="1" applyFill="1" applyBorder="1" applyAlignment="1">
      <alignment horizontal="right" vertical="center" indent="1"/>
    </xf>
    <xf numFmtId="0" fontId="0" fillId="3" borderId="0" xfId="0" applyFill="1" applyBorder="1" applyAlignment="1"/>
    <xf numFmtId="169" fontId="5" fillId="0" borderId="0" xfId="0" applyNumberFormat="1" applyFont="1" applyFill="1" applyBorder="1"/>
    <xf numFmtId="174" fontId="22" fillId="4" borderId="23" xfId="0" quotePrefix="1" applyNumberFormat="1" applyFont="1" applyFill="1" applyBorder="1" applyAlignment="1">
      <alignment horizontal="center"/>
    </xf>
    <xf numFmtId="174" fontId="22" fillId="4" borderId="25" xfId="0" quotePrefix="1" applyNumberFormat="1" applyFont="1" applyFill="1" applyBorder="1" applyAlignment="1">
      <alignment horizontal="center"/>
    </xf>
    <xf numFmtId="3" fontId="28" fillId="4" borderId="10" xfId="2" applyNumberFormat="1" applyFont="1" applyFill="1" applyBorder="1" applyAlignment="1">
      <alignment horizontal="right" indent="1"/>
    </xf>
    <xf numFmtId="174" fontId="22" fillId="6" borderId="23" xfId="0" quotePrefix="1" applyNumberFormat="1" applyFont="1" applyFill="1" applyBorder="1" applyAlignment="1">
      <alignment horizontal="center"/>
    </xf>
    <xf numFmtId="174" fontId="22" fillId="6" borderId="25" xfId="0" quotePrefix="1" applyNumberFormat="1" applyFont="1" applyFill="1" applyBorder="1" applyAlignment="1">
      <alignment horizontal="center"/>
    </xf>
    <xf numFmtId="174" fontId="22" fillId="4" borderId="24" xfId="0" quotePrefix="1" applyNumberFormat="1" applyFont="1" applyFill="1" applyBorder="1" applyAlignment="1">
      <alignment horizontal="center"/>
    </xf>
    <xf numFmtId="174" fontId="22" fillId="6" borderId="26" xfId="0" quotePrefix="1" applyNumberFormat="1" applyFont="1" applyFill="1" applyBorder="1" applyAlignment="1">
      <alignment horizontal="center"/>
    </xf>
    <xf numFmtId="43" fontId="11" fillId="0" borderId="0" xfId="1" applyFont="1"/>
    <xf numFmtId="166" fontId="27" fillId="3" borderId="0" xfId="2" applyNumberFormat="1" applyFont="1" applyFill="1" applyBorder="1" applyAlignment="1">
      <alignment horizontal="right" vertical="center" indent="1"/>
    </xf>
    <xf numFmtId="166" fontId="27" fillId="4" borderId="16" xfId="2" applyNumberFormat="1" applyFont="1" applyFill="1" applyBorder="1" applyAlignment="1">
      <alignment horizontal="right" vertical="center" indent="1"/>
    </xf>
    <xf numFmtId="166" fontId="27" fillId="6" borderId="22" xfId="2" applyNumberFormat="1" applyFont="1" applyFill="1" applyBorder="1" applyAlignment="1">
      <alignment horizontal="right" vertical="center" indent="1"/>
    </xf>
    <xf numFmtId="166" fontId="27" fillId="4" borderId="22" xfId="2" applyNumberFormat="1" applyFont="1" applyFill="1" applyBorder="1" applyAlignment="1">
      <alignment horizontal="right" vertical="center" indent="1"/>
    </xf>
    <xf numFmtId="166" fontId="40" fillId="3" borderId="0" xfId="2" applyNumberFormat="1" applyFont="1" applyFill="1" applyBorder="1" applyAlignment="1">
      <alignment horizontal="right" vertical="center" indent="1"/>
    </xf>
    <xf numFmtId="166" fontId="40" fillId="4" borderId="16" xfId="2" applyNumberFormat="1" applyFont="1" applyFill="1" applyBorder="1" applyAlignment="1">
      <alignment horizontal="right" vertical="center" indent="1"/>
    </xf>
    <xf numFmtId="166" fontId="40" fillId="4" borderId="21" xfId="2" applyNumberFormat="1" applyFont="1" applyFill="1" applyBorder="1" applyAlignment="1">
      <alignment horizontal="right" vertical="center" indent="1"/>
    </xf>
    <xf numFmtId="166" fontId="40" fillId="6" borderId="21" xfId="2" applyNumberFormat="1" applyFont="1" applyFill="1" applyBorder="1" applyAlignment="1">
      <alignment horizontal="right" vertical="center" indent="1"/>
    </xf>
    <xf numFmtId="166" fontId="40" fillId="6" borderId="18" xfId="2" applyNumberFormat="1" applyFont="1" applyFill="1" applyBorder="1" applyAlignment="1">
      <alignment horizontal="right" vertical="center" indent="1"/>
    </xf>
    <xf numFmtId="0" fontId="42" fillId="3" borderId="0" xfId="0" quotePrefix="1" applyFont="1" applyFill="1" applyBorder="1" applyAlignment="1">
      <alignment horizontal="right"/>
    </xf>
    <xf numFmtId="0" fontId="43" fillId="3" borderId="0" xfId="0" applyFont="1" applyFill="1" applyBorder="1" applyAlignment="1">
      <alignment horizontal="right"/>
    </xf>
    <xf numFmtId="0" fontId="42" fillId="3" borderId="0" xfId="0" applyFont="1" applyFill="1" applyBorder="1" applyAlignment="1">
      <alignment horizontal="right"/>
    </xf>
    <xf numFmtId="0" fontId="41" fillId="3" borderId="0" xfId="0" applyFont="1" applyFill="1" applyBorder="1" applyAlignment="1">
      <alignment horizontal="right"/>
    </xf>
    <xf numFmtId="0" fontId="7" fillId="3" borderId="0" xfId="0" applyFont="1" applyFill="1" applyBorder="1" applyAlignment="1">
      <alignment horizontal="right"/>
    </xf>
    <xf numFmtId="166" fontId="40" fillId="4" borderId="8" xfId="2" applyNumberFormat="1" applyFont="1" applyFill="1" applyBorder="1" applyAlignment="1">
      <alignment horizontal="right" vertical="center" indent="1"/>
    </xf>
    <xf numFmtId="166" fontId="40" fillId="4" borderId="9" xfId="2" applyNumberFormat="1" applyFont="1" applyFill="1" applyBorder="1" applyAlignment="1">
      <alignment horizontal="right" vertical="center" indent="1"/>
    </xf>
    <xf numFmtId="166" fontId="40" fillId="6" borderId="10" xfId="2" applyNumberFormat="1" applyFont="1" applyFill="1" applyBorder="1" applyAlignment="1">
      <alignment horizontal="right" vertical="center" indent="1"/>
    </xf>
    <xf numFmtId="166" fontId="40" fillId="6" borderId="9" xfId="2" applyNumberFormat="1" applyFont="1" applyFill="1" applyBorder="1" applyAlignment="1">
      <alignment horizontal="right" vertical="center" indent="1"/>
    </xf>
    <xf numFmtId="166" fontId="40" fillId="4" borderId="10" xfId="2" applyNumberFormat="1" applyFont="1" applyFill="1" applyBorder="1" applyAlignment="1">
      <alignment horizontal="right" vertical="center" indent="1"/>
    </xf>
    <xf numFmtId="166" fontId="40" fillId="6" borderId="15" xfId="2" applyNumberFormat="1" applyFont="1" applyFill="1" applyBorder="1" applyAlignment="1">
      <alignment horizontal="right" vertical="center" indent="1"/>
    </xf>
    <xf numFmtId="166" fontId="40" fillId="6" borderId="17" xfId="2" applyNumberFormat="1" applyFont="1" applyFill="1" applyBorder="1" applyAlignment="1">
      <alignment horizontal="right" vertical="center" indent="1"/>
    </xf>
    <xf numFmtId="166" fontId="40" fillId="4" borderId="17" xfId="2" applyNumberFormat="1" applyFont="1" applyFill="1" applyBorder="1" applyAlignment="1">
      <alignment horizontal="right" vertical="center" indent="1"/>
    </xf>
    <xf numFmtId="0" fontId="31" fillId="3" borderId="13" xfId="0" applyFont="1" applyFill="1" applyBorder="1" applyAlignment="1">
      <alignment wrapText="1"/>
    </xf>
    <xf numFmtId="169" fontId="5" fillId="3" borderId="13" xfId="0" applyNumberFormat="1" applyFont="1" applyFill="1" applyBorder="1"/>
    <xf numFmtId="0" fontId="31" fillId="3" borderId="8" xfId="0" applyFont="1" applyFill="1" applyBorder="1" applyAlignment="1">
      <alignment wrapText="1"/>
    </xf>
    <xf numFmtId="0" fontId="7" fillId="3" borderId="8" xfId="0" applyFont="1" applyFill="1" applyBorder="1" applyAlignment="1">
      <alignment horizontal="left" wrapText="1"/>
    </xf>
    <xf numFmtId="0" fontId="7" fillId="3" borderId="0" xfId="0" applyFont="1" applyFill="1" applyBorder="1" applyAlignment="1">
      <alignment horizontal="left" wrapText="1"/>
    </xf>
    <xf numFmtId="171" fontId="22" fillId="3" borderId="0" xfId="0" applyNumberFormat="1" applyFont="1" applyFill="1" applyBorder="1"/>
    <xf numFmtId="0" fontId="41" fillId="3" borderId="8" xfId="0" applyFont="1" applyFill="1" applyBorder="1"/>
    <xf numFmtId="0" fontId="11" fillId="3" borderId="8" xfId="0" applyFont="1" applyFill="1" applyBorder="1"/>
    <xf numFmtId="0" fontId="11" fillId="3" borderId="16" xfId="0" applyFont="1" applyFill="1" applyBorder="1"/>
    <xf numFmtId="4" fontId="28" fillId="4" borderId="8" xfId="2" applyNumberFormat="1" applyFont="1" applyFill="1" applyBorder="1" applyAlignment="1">
      <alignment horizontal="right" indent="1"/>
    </xf>
    <xf numFmtId="4" fontId="20" fillId="4" borderId="9" xfId="2" applyNumberFormat="1" applyFont="1" applyFill="1" applyBorder="1" applyAlignment="1">
      <alignment horizontal="right" indent="1"/>
    </xf>
    <xf numFmtId="4" fontId="28" fillId="6" borderId="10" xfId="2" applyNumberFormat="1" applyFont="1" applyFill="1" applyBorder="1" applyAlignment="1">
      <alignment horizontal="right" indent="1"/>
    </xf>
    <xf numFmtId="4" fontId="20" fillId="6" borderId="9" xfId="2" applyNumberFormat="1" applyFont="1" applyFill="1" applyBorder="1" applyAlignment="1">
      <alignment horizontal="right" indent="1"/>
    </xf>
    <xf numFmtId="4" fontId="28" fillId="4" borderId="10" xfId="2" applyNumberFormat="1" applyFont="1" applyFill="1" applyBorder="1" applyAlignment="1">
      <alignment horizontal="right" indent="1"/>
    </xf>
    <xf numFmtId="4" fontId="20" fillId="6" borderId="15" xfId="2" applyNumberFormat="1" applyFont="1" applyFill="1" applyBorder="1" applyAlignment="1">
      <alignment horizontal="right" indent="1"/>
    </xf>
    <xf numFmtId="0" fontId="41" fillId="0" borderId="0" xfId="0" applyFont="1"/>
    <xf numFmtId="0" fontId="41" fillId="3" borderId="0" xfId="0" applyFont="1" applyFill="1" applyBorder="1" applyAlignment="1">
      <alignment horizontal="left"/>
    </xf>
    <xf numFmtId="164" fontId="41" fillId="3" borderId="0" xfId="4" applyNumberFormat="1" applyFont="1" applyFill="1" applyBorder="1"/>
    <xf numFmtId="170" fontId="41" fillId="3" borderId="0" xfId="2" applyNumberFormat="1" applyFont="1" applyFill="1" applyBorder="1"/>
    <xf numFmtId="173" fontId="41" fillId="3" borderId="0" xfId="2" applyNumberFormat="1" applyFont="1" applyFill="1" applyBorder="1" applyAlignment="1">
      <alignment horizontal="left" indent="1"/>
    </xf>
    <xf numFmtId="173" fontId="41" fillId="3" borderId="0" xfId="2" applyNumberFormat="1" applyFont="1" applyFill="1" applyBorder="1" applyAlignment="1">
      <alignment horizontal="left" vertical="center" indent="1"/>
    </xf>
    <xf numFmtId="0" fontId="19" fillId="0" borderId="0" xfId="0" applyFont="1"/>
    <xf numFmtId="0" fontId="5" fillId="0" borderId="0" xfId="0" applyFont="1" applyFill="1" applyBorder="1" applyAlignment="1">
      <alignment horizontal="right"/>
    </xf>
    <xf numFmtId="0" fontId="42" fillId="0" borderId="0" xfId="0" quotePrefix="1" applyFont="1" applyFill="1" applyBorder="1" applyAlignment="1">
      <alignment horizontal="right"/>
    </xf>
    <xf numFmtId="0" fontId="43" fillId="0" borderId="0" xfId="0" applyFont="1" applyFill="1" applyBorder="1" applyAlignment="1">
      <alignment horizontal="right"/>
    </xf>
    <xf numFmtId="0" fontId="42" fillId="0" borderId="0" xfId="0" applyFont="1" applyFill="1" applyBorder="1" applyAlignment="1">
      <alignment horizontal="right"/>
    </xf>
    <xf numFmtId="173" fontId="5" fillId="2" borderId="0" xfId="2" applyNumberFormat="1" applyFont="1" applyFill="1" applyBorder="1" applyAlignment="1">
      <alignment horizontal="right" indent="1"/>
    </xf>
    <xf numFmtId="167" fontId="22" fillId="2" borderId="0" xfId="2" applyNumberFormat="1" applyFont="1" applyFill="1" applyBorder="1" applyAlignment="1">
      <alignment horizontal="right" indent="1"/>
    </xf>
    <xf numFmtId="167" fontId="5" fillId="2" borderId="0" xfId="2" applyNumberFormat="1" applyFont="1" applyFill="1" applyBorder="1" applyAlignment="1">
      <alignment horizontal="right" indent="1"/>
    </xf>
    <xf numFmtId="3" fontId="5" fillId="2" borderId="0" xfId="2" applyNumberFormat="1" applyFont="1" applyFill="1" applyBorder="1" applyAlignment="1">
      <alignment horizontal="right" indent="1"/>
    </xf>
    <xf numFmtId="166" fontId="26" fillId="2" borderId="0" xfId="2" applyNumberFormat="1" applyFont="1" applyFill="1" applyBorder="1" applyAlignment="1">
      <alignment horizontal="right" vertical="center" indent="1"/>
    </xf>
    <xf numFmtId="0" fontId="2" fillId="0" borderId="0" xfId="0" applyFont="1" applyAlignment="1">
      <alignment horizontal="left" wrapText="1"/>
    </xf>
    <xf numFmtId="0" fontId="5" fillId="0" borderId="0" xfId="0" applyFont="1" applyAlignment="1">
      <alignment horizontal="right" indent="1"/>
    </xf>
    <xf numFmtId="0" fontId="0" fillId="0" borderId="0" xfId="0" applyAlignment="1"/>
    <xf numFmtId="0" fontId="0" fillId="0" borderId="8" xfId="0" applyBorder="1" applyAlignment="1"/>
    <xf numFmtId="0" fontId="1" fillId="0" borderId="0" xfId="0" applyFont="1"/>
    <xf numFmtId="0" fontId="31" fillId="3" borderId="8" xfId="0" applyFont="1" applyFill="1" applyBorder="1" applyAlignment="1">
      <alignment horizontal="left" wrapText="1"/>
    </xf>
    <xf numFmtId="0" fontId="31" fillId="3" borderId="0" xfId="0" applyFont="1" applyFill="1" applyBorder="1" applyAlignment="1">
      <alignment horizontal="left" wrapText="1"/>
    </xf>
    <xf numFmtId="0" fontId="46" fillId="3" borderId="8" xfId="0" applyFont="1" applyFill="1" applyBorder="1" applyAlignment="1">
      <alignment horizontal="left" wrapText="1"/>
    </xf>
    <xf numFmtId="0" fontId="46" fillId="3" borderId="0" xfId="0" applyFont="1" applyFill="1" applyBorder="1" applyAlignment="1">
      <alignment horizontal="left" wrapText="1"/>
    </xf>
    <xf numFmtId="1" fontId="5" fillId="4" borderId="27" xfId="0" applyNumberFormat="1" applyFont="1" applyFill="1" applyBorder="1" applyAlignment="1">
      <alignment horizontal="center"/>
    </xf>
    <xf numFmtId="1" fontId="5" fillId="4" borderId="11" xfId="0" applyNumberFormat="1" applyFont="1" applyFill="1" applyBorder="1" applyAlignment="1">
      <alignment horizontal="center"/>
    </xf>
    <xf numFmtId="1" fontId="5" fillId="6" borderId="28" xfId="0" applyNumberFormat="1" applyFont="1" applyFill="1" applyBorder="1" applyAlignment="1">
      <alignment horizontal="center"/>
    </xf>
    <xf numFmtId="1" fontId="5" fillId="6" borderId="11" xfId="0" applyNumberFormat="1" applyFont="1" applyFill="1" applyBorder="1" applyAlignment="1">
      <alignment horizontal="center"/>
    </xf>
    <xf numFmtId="0" fontId="7" fillId="5" borderId="3" xfId="0" applyFont="1" applyFill="1" applyBorder="1" applyAlignment="1">
      <alignment horizontal="center" wrapText="1"/>
    </xf>
    <xf numFmtId="0" fontId="7" fillId="5" borderId="19" xfId="0" applyFont="1" applyFill="1" applyBorder="1" applyAlignment="1">
      <alignment horizontal="center" wrapText="1"/>
    </xf>
    <xf numFmtId="0" fontId="39" fillId="3" borderId="8" xfId="0" applyFont="1" applyFill="1" applyBorder="1" applyAlignment="1">
      <alignment horizontal="left" wrapText="1"/>
    </xf>
    <xf numFmtId="0" fontId="39" fillId="3" borderId="0" xfId="0" applyFont="1" applyFill="1" applyBorder="1" applyAlignment="1">
      <alignment horizontal="left" wrapText="1"/>
    </xf>
    <xf numFmtId="1" fontId="5" fillId="4" borderId="28" xfId="0" applyNumberFormat="1" applyFont="1" applyFill="1" applyBorder="1" applyAlignment="1">
      <alignment horizontal="center"/>
    </xf>
    <xf numFmtId="1" fontId="5" fillId="6" borderId="20" xfId="0" applyNumberFormat="1" applyFont="1" applyFill="1" applyBorder="1" applyAlignment="1">
      <alignment horizontal="center"/>
    </xf>
    <xf numFmtId="166" fontId="26" fillId="6" borderId="8" xfId="0" applyNumberFormat="1" applyFont="1" applyFill="1" applyBorder="1" applyAlignment="1">
      <alignment horizontal="right" vertical="center" indent="4"/>
    </xf>
    <xf numFmtId="166" fontId="26" fillId="6" borderId="15" xfId="0" applyNumberFormat="1" applyFont="1" applyFill="1" applyBorder="1" applyAlignment="1">
      <alignment horizontal="right" vertical="center" indent="4"/>
    </xf>
    <xf numFmtId="166" fontId="5" fillId="6" borderId="8" xfId="0" applyNumberFormat="1" applyFont="1" applyFill="1" applyBorder="1" applyAlignment="1">
      <alignment horizontal="right" indent="4"/>
    </xf>
    <xf numFmtId="166" fontId="5" fillId="6" borderId="15" xfId="0" applyNumberFormat="1" applyFont="1" applyFill="1" applyBorder="1" applyAlignment="1">
      <alignment horizontal="right" indent="4"/>
    </xf>
    <xf numFmtId="166" fontId="26" fillId="4" borderId="16" xfId="0" applyNumberFormat="1" applyFont="1" applyFill="1" applyBorder="1" applyAlignment="1">
      <alignment horizontal="right" vertical="center" indent="4"/>
    </xf>
    <xf numFmtId="166" fontId="26" fillId="4" borderId="18" xfId="0" applyNumberFormat="1" applyFont="1" applyFill="1" applyBorder="1" applyAlignment="1">
      <alignment horizontal="right" vertical="center" indent="4"/>
    </xf>
    <xf numFmtId="166" fontId="26" fillId="6" borderId="16" xfId="0" applyNumberFormat="1" applyFont="1" applyFill="1" applyBorder="1" applyAlignment="1">
      <alignment horizontal="right" vertical="center" indent="4"/>
    </xf>
    <xf numFmtId="166" fontId="26" fillId="6" borderId="18" xfId="0" applyNumberFormat="1" applyFont="1" applyFill="1" applyBorder="1" applyAlignment="1">
      <alignment horizontal="right" vertical="center" indent="4"/>
    </xf>
    <xf numFmtId="10" fontId="5" fillId="4" borderId="8" xfId="4" applyNumberFormat="1" applyFont="1" applyFill="1" applyBorder="1" applyAlignment="1">
      <alignment horizontal="right" indent="4"/>
    </xf>
    <xf numFmtId="10" fontId="5" fillId="4" borderId="15" xfId="4" applyNumberFormat="1" applyFont="1" applyFill="1" applyBorder="1" applyAlignment="1">
      <alignment horizontal="right" indent="4"/>
    </xf>
    <xf numFmtId="10" fontId="5" fillId="6" borderId="8" xfId="4" applyNumberFormat="1" applyFont="1" applyFill="1" applyBorder="1" applyAlignment="1">
      <alignment horizontal="right" indent="4"/>
    </xf>
    <xf numFmtId="10" fontId="5" fillId="6" borderId="15" xfId="4" applyNumberFormat="1" applyFont="1" applyFill="1" applyBorder="1" applyAlignment="1">
      <alignment horizontal="right" indent="4"/>
    </xf>
    <xf numFmtId="166" fontId="26" fillId="4" borderId="8" xfId="0" applyNumberFormat="1" applyFont="1" applyFill="1" applyBorder="1" applyAlignment="1">
      <alignment horizontal="right" vertical="center" indent="4"/>
    </xf>
    <xf numFmtId="166" fontId="26" fillId="4" borderId="15" xfId="0" applyNumberFormat="1" applyFont="1" applyFill="1" applyBorder="1" applyAlignment="1">
      <alignment horizontal="right" vertical="center" indent="4"/>
    </xf>
    <xf numFmtId="1" fontId="5" fillId="6" borderId="31" xfId="0" applyNumberFormat="1" applyFont="1" applyFill="1" applyBorder="1" applyAlignment="1">
      <alignment horizontal="center"/>
    </xf>
    <xf numFmtId="1" fontId="5" fillId="6" borderId="32" xfId="0" applyNumberFormat="1" applyFont="1" applyFill="1" applyBorder="1" applyAlignment="1">
      <alignment horizontal="center"/>
    </xf>
    <xf numFmtId="0" fontId="33" fillId="3" borderId="8" xfId="0" applyFont="1" applyFill="1" applyBorder="1" applyAlignment="1">
      <alignment horizontal="left"/>
    </xf>
    <xf numFmtId="0" fontId="33" fillId="3" borderId="0" xfId="0" applyFont="1" applyFill="1" applyBorder="1" applyAlignment="1">
      <alignment horizontal="left"/>
    </xf>
    <xf numFmtId="10" fontId="5" fillId="4" borderId="0" xfId="4" applyNumberFormat="1" applyFont="1" applyFill="1" applyBorder="1" applyAlignment="1">
      <alignment horizontal="right" indent="4"/>
    </xf>
    <xf numFmtId="166" fontId="26" fillId="4" borderId="16" xfId="0" applyNumberFormat="1" applyFont="1" applyFill="1" applyBorder="1" applyAlignment="1">
      <alignment horizontal="center" vertical="center"/>
    </xf>
    <xf numFmtId="166" fontId="26" fillId="4" borderId="17" xfId="0" applyNumberFormat="1" applyFont="1" applyFill="1" applyBorder="1" applyAlignment="1">
      <alignment horizontal="center" vertical="center"/>
    </xf>
    <xf numFmtId="4" fontId="5" fillId="4" borderId="8" xfId="0" applyNumberFormat="1" applyFont="1" applyFill="1" applyBorder="1" applyAlignment="1">
      <alignment horizontal="right" indent="4"/>
    </xf>
    <xf numFmtId="4" fontId="5" fillId="4" borderId="0" xfId="0" applyNumberFormat="1" applyFont="1" applyFill="1" applyBorder="1" applyAlignment="1">
      <alignment horizontal="right" indent="4"/>
    </xf>
    <xf numFmtId="4" fontId="24" fillId="6" borderId="8" xfId="0" applyNumberFormat="1" applyFont="1" applyFill="1" applyBorder="1" applyAlignment="1">
      <alignment horizontal="right" indent="4"/>
    </xf>
    <xf numFmtId="4" fontId="24" fillId="6" borderId="15" xfId="0" applyNumberFormat="1" applyFont="1" applyFill="1" applyBorder="1" applyAlignment="1">
      <alignment horizontal="right" indent="4"/>
    </xf>
    <xf numFmtId="172" fontId="7" fillId="6" borderId="28" xfId="0" quotePrefix="1" applyNumberFormat="1" applyFont="1" applyFill="1" applyBorder="1" applyAlignment="1">
      <alignment horizontal="right" indent="4"/>
    </xf>
    <xf numFmtId="172" fontId="7" fillId="6" borderId="11" xfId="0" quotePrefix="1" applyNumberFormat="1" applyFont="1" applyFill="1" applyBorder="1" applyAlignment="1">
      <alignment horizontal="right" indent="4"/>
    </xf>
    <xf numFmtId="172" fontId="5" fillId="6" borderId="27" xfId="0" applyNumberFormat="1" applyFont="1" applyFill="1" applyBorder="1" applyAlignment="1">
      <alignment horizontal="center"/>
    </xf>
    <xf numFmtId="172" fontId="5" fillId="6" borderId="20" xfId="0" applyNumberFormat="1" applyFont="1" applyFill="1" applyBorder="1" applyAlignment="1">
      <alignment horizontal="center"/>
    </xf>
    <xf numFmtId="172" fontId="5" fillId="4" borderId="27" xfId="0" applyNumberFormat="1" applyFont="1" applyFill="1" applyBorder="1" applyAlignment="1">
      <alignment horizontal="center"/>
    </xf>
    <xf numFmtId="172" fontId="5" fillId="4" borderId="20" xfId="0" applyNumberFormat="1" applyFont="1" applyFill="1" applyBorder="1" applyAlignment="1">
      <alignment horizontal="center"/>
    </xf>
    <xf numFmtId="166" fontId="5" fillId="4" borderId="8" xfId="0" applyNumberFormat="1" applyFont="1" applyFill="1" applyBorder="1" applyAlignment="1">
      <alignment horizontal="right" indent="4"/>
    </xf>
    <xf numFmtId="166" fontId="5" fillId="4" borderId="15" xfId="0" applyNumberFormat="1" applyFont="1" applyFill="1" applyBorder="1" applyAlignment="1">
      <alignment horizontal="right" indent="4"/>
    </xf>
    <xf numFmtId="4" fontId="24" fillId="4" borderId="8" xfId="0" applyNumberFormat="1" applyFont="1" applyFill="1" applyBorder="1" applyAlignment="1">
      <alignment horizontal="right" indent="4"/>
    </xf>
    <xf numFmtId="4" fontId="24" fillId="4" borderId="15" xfId="0" applyNumberFormat="1" applyFont="1" applyFill="1" applyBorder="1" applyAlignment="1">
      <alignment horizontal="right" indent="4"/>
    </xf>
    <xf numFmtId="167" fontId="20" fillId="6" borderId="10" xfId="2" applyNumberFormat="1" applyFont="1" applyFill="1" applyBorder="1" applyAlignment="1">
      <alignment horizontal="right" indent="4"/>
    </xf>
    <xf numFmtId="167" fontId="20" fillId="6" borderId="15" xfId="2" applyNumberFormat="1" applyFont="1" applyFill="1" applyBorder="1" applyAlignment="1">
      <alignment horizontal="right" indent="4"/>
    </xf>
    <xf numFmtId="173" fontId="27" fillId="6" borderId="22" xfId="2" applyNumberFormat="1" applyFont="1" applyFill="1" applyBorder="1" applyAlignment="1">
      <alignment horizontal="right" vertical="center" indent="4"/>
    </xf>
    <xf numFmtId="173" fontId="27" fillId="6" borderId="18" xfId="2" applyNumberFormat="1" applyFont="1" applyFill="1" applyBorder="1" applyAlignment="1">
      <alignment horizontal="right" vertical="center" indent="4"/>
    </xf>
    <xf numFmtId="173" fontId="7" fillId="6" borderId="10" xfId="2" quotePrefix="1" applyNumberFormat="1" applyFont="1" applyFill="1" applyBorder="1" applyAlignment="1">
      <alignment horizontal="right" indent="5"/>
    </xf>
    <xf numFmtId="173" fontId="7" fillId="6" borderId="15" xfId="2" quotePrefix="1" applyNumberFormat="1" applyFont="1" applyFill="1" applyBorder="1" applyAlignment="1">
      <alignment horizontal="right" indent="5"/>
    </xf>
    <xf numFmtId="1" fontId="7" fillId="6" borderId="5" xfId="0" applyNumberFormat="1" applyFont="1" applyFill="1" applyBorder="1" applyAlignment="1">
      <alignment horizontal="center"/>
    </xf>
    <xf numFmtId="1" fontId="7" fillId="6" borderId="30" xfId="0" applyNumberFormat="1" applyFont="1" applyFill="1" applyBorder="1" applyAlignment="1">
      <alignment horizontal="center"/>
    </xf>
    <xf numFmtId="0" fontId="33" fillId="3" borderId="8" xfId="0" applyFont="1" applyFill="1" applyBorder="1" applyAlignment="1">
      <alignment horizontal="left" wrapText="1"/>
    </xf>
    <xf numFmtId="0" fontId="33" fillId="3" borderId="0" xfId="0" applyFont="1" applyFill="1" applyBorder="1" applyAlignment="1">
      <alignment horizontal="left" wrapText="1"/>
    </xf>
    <xf numFmtId="166" fontId="5" fillId="4" borderId="0" xfId="0" applyNumberFormat="1" applyFont="1" applyFill="1" applyBorder="1" applyAlignment="1">
      <alignment horizontal="right" indent="4"/>
    </xf>
    <xf numFmtId="1" fontId="7" fillId="6" borderId="28" xfId="0" applyNumberFormat="1" applyFont="1" applyFill="1" applyBorder="1" applyAlignment="1">
      <alignment horizontal="center"/>
    </xf>
    <xf numFmtId="1" fontId="7" fillId="6" borderId="20" xfId="0" applyNumberFormat="1" applyFont="1" applyFill="1" applyBorder="1" applyAlignment="1">
      <alignment horizontal="center"/>
    </xf>
    <xf numFmtId="0" fontId="5" fillId="3" borderId="8" xfId="0" applyFont="1" applyFill="1" applyBorder="1" applyAlignment="1">
      <alignment horizontal="right"/>
    </xf>
    <xf numFmtId="0" fontId="5" fillId="3" borderId="0" xfId="0" applyFont="1" applyFill="1" applyBorder="1" applyAlignment="1">
      <alignment horizontal="right"/>
    </xf>
    <xf numFmtId="0" fontId="5" fillId="3" borderId="8" xfId="0" applyFont="1" applyFill="1" applyBorder="1" applyAlignment="1">
      <alignment horizontal="right" vertical="center"/>
    </xf>
    <xf numFmtId="0" fontId="5" fillId="3" borderId="0" xfId="0" applyFont="1" applyFill="1" applyBorder="1" applyAlignment="1">
      <alignment horizontal="right" vertical="center"/>
    </xf>
    <xf numFmtId="173" fontId="7" fillId="4" borderId="22" xfId="2" quotePrefix="1" applyNumberFormat="1" applyFont="1" applyFill="1" applyBorder="1" applyAlignment="1">
      <alignment horizontal="right" vertical="center" indent="5"/>
    </xf>
    <xf numFmtId="173" fontId="7" fillId="4" borderId="21" xfId="2" quotePrefix="1" applyNumberFormat="1" applyFont="1" applyFill="1" applyBorder="1" applyAlignment="1">
      <alignment horizontal="right" vertical="center" indent="5"/>
    </xf>
    <xf numFmtId="1" fontId="7" fillId="4" borderId="27" xfId="0" applyNumberFormat="1" applyFont="1" applyFill="1" applyBorder="1" applyAlignment="1">
      <alignment horizontal="center"/>
    </xf>
    <xf numFmtId="1" fontId="7" fillId="4" borderId="11" xfId="0" applyNumberFormat="1" applyFont="1" applyFill="1" applyBorder="1" applyAlignment="1">
      <alignment horizontal="center"/>
    </xf>
    <xf numFmtId="1" fontId="7" fillId="6" borderId="11" xfId="0" applyNumberFormat="1" applyFont="1" applyFill="1" applyBorder="1" applyAlignment="1">
      <alignment horizontal="center"/>
    </xf>
    <xf numFmtId="1" fontId="7" fillId="4" borderId="29" xfId="0" applyNumberFormat="1" applyFont="1" applyFill="1" applyBorder="1" applyAlignment="1">
      <alignment horizontal="center"/>
    </xf>
    <xf numFmtId="172" fontId="7" fillId="4" borderId="28" xfId="0" quotePrefix="1" applyNumberFormat="1" applyFont="1" applyFill="1" applyBorder="1" applyAlignment="1">
      <alignment horizontal="right" indent="4"/>
    </xf>
    <xf numFmtId="172" fontId="7" fillId="4" borderId="11" xfId="0" quotePrefix="1" applyNumberFormat="1" applyFont="1" applyFill="1" applyBorder="1" applyAlignment="1">
      <alignment horizontal="right" indent="4"/>
    </xf>
    <xf numFmtId="173" fontId="7" fillId="4" borderId="16" xfId="2" quotePrefix="1" applyNumberFormat="1" applyFont="1" applyFill="1" applyBorder="1" applyAlignment="1">
      <alignment horizontal="right" vertical="center" indent="5"/>
    </xf>
    <xf numFmtId="173" fontId="7" fillId="6" borderId="22" xfId="2" quotePrefix="1" applyNumberFormat="1" applyFont="1" applyFill="1" applyBorder="1" applyAlignment="1">
      <alignment horizontal="right" vertical="center" indent="5"/>
    </xf>
    <xf numFmtId="173" fontId="7" fillId="6" borderId="21" xfId="2" quotePrefix="1" applyNumberFormat="1" applyFont="1" applyFill="1" applyBorder="1" applyAlignment="1">
      <alignment horizontal="right" vertical="center" indent="5"/>
    </xf>
    <xf numFmtId="173" fontId="7" fillId="4" borderId="10" xfId="2" quotePrefix="1" applyNumberFormat="1" applyFont="1" applyFill="1" applyBorder="1" applyAlignment="1">
      <alignment horizontal="right" indent="5"/>
    </xf>
    <xf numFmtId="173" fontId="7" fillId="4" borderId="9" xfId="2" quotePrefix="1" applyNumberFormat="1" applyFont="1" applyFill="1" applyBorder="1" applyAlignment="1">
      <alignment horizontal="right" indent="5"/>
    </xf>
    <xf numFmtId="172" fontId="7" fillId="4" borderId="27" xfId="0" quotePrefix="1" applyNumberFormat="1" applyFont="1" applyFill="1" applyBorder="1" applyAlignment="1">
      <alignment horizontal="right" indent="4"/>
    </xf>
    <xf numFmtId="172" fontId="7" fillId="6" borderId="20" xfId="0" quotePrefix="1" applyNumberFormat="1" applyFont="1" applyFill="1" applyBorder="1" applyAlignment="1">
      <alignment horizontal="right" indent="4"/>
    </xf>
    <xf numFmtId="173" fontId="7" fillId="4" borderId="8" xfId="2" quotePrefix="1" applyNumberFormat="1" applyFont="1" applyFill="1" applyBorder="1" applyAlignment="1">
      <alignment horizontal="right" indent="5"/>
    </xf>
    <xf numFmtId="173" fontId="7" fillId="4" borderId="23" xfId="2" quotePrefix="1" applyNumberFormat="1" applyFont="1" applyFill="1" applyBorder="1" applyAlignment="1">
      <alignment horizontal="right" indent="5"/>
    </xf>
    <xf numFmtId="173" fontId="7" fillId="4" borderId="25" xfId="2" quotePrefix="1" applyNumberFormat="1" applyFont="1" applyFill="1" applyBorder="1" applyAlignment="1">
      <alignment horizontal="right" indent="5"/>
    </xf>
    <xf numFmtId="173" fontId="7" fillId="6" borderId="23" xfId="2" quotePrefix="1" applyNumberFormat="1" applyFont="1" applyFill="1" applyBorder="1" applyAlignment="1">
      <alignment horizontal="right" indent="5"/>
    </xf>
    <xf numFmtId="173" fontId="7" fillId="6" borderId="25" xfId="2" quotePrefix="1" applyNumberFormat="1" applyFont="1" applyFill="1" applyBorder="1" applyAlignment="1">
      <alignment horizontal="right" indent="5"/>
    </xf>
    <xf numFmtId="173" fontId="7" fillId="6" borderId="9" xfId="2" quotePrefix="1" applyNumberFormat="1" applyFont="1" applyFill="1" applyBorder="1" applyAlignment="1">
      <alignment horizontal="right" indent="5"/>
    </xf>
    <xf numFmtId="173" fontId="7" fillId="6" borderId="26" xfId="2" quotePrefix="1" applyNumberFormat="1" applyFont="1" applyFill="1" applyBorder="1" applyAlignment="1">
      <alignment horizontal="right" indent="5"/>
    </xf>
    <xf numFmtId="1" fontId="7" fillId="4" borderId="5" xfId="0" applyNumberFormat="1" applyFont="1" applyFill="1" applyBorder="1" applyAlignment="1">
      <alignment horizontal="center"/>
    </xf>
    <xf numFmtId="1" fontId="7" fillId="4" borderId="7" xfId="0" applyNumberFormat="1" applyFont="1" applyFill="1" applyBorder="1" applyAlignment="1">
      <alignment horizontal="center"/>
    </xf>
    <xf numFmtId="173" fontId="7" fillId="4" borderId="24" xfId="2" quotePrefix="1" applyNumberFormat="1" applyFont="1" applyFill="1" applyBorder="1" applyAlignment="1">
      <alignment horizontal="right" indent="5"/>
    </xf>
    <xf numFmtId="9" fontId="7" fillId="6" borderId="10" xfId="4" quotePrefix="1" applyFont="1" applyFill="1" applyBorder="1" applyAlignment="1">
      <alignment horizontal="center"/>
    </xf>
    <xf numFmtId="9" fontId="7" fillId="6" borderId="15" xfId="4" quotePrefix="1" applyFont="1" applyFill="1" applyBorder="1" applyAlignment="1">
      <alignment horizontal="center"/>
    </xf>
    <xf numFmtId="9" fontId="7" fillId="6" borderId="10" xfId="4" applyNumberFormat="1" applyFont="1" applyFill="1" applyBorder="1" applyAlignment="1">
      <alignment horizontal="center"/>
    </xf>
    <xf numFmtId="9" fontId="7" fillId="6" borderId="15" xfId="4" applyNumberFormat="1" applyFont="1" applyFill="1" applyBorder="1" applyAlignment="1">
      <alignment horizontal="center"/>
    </xf>
    <xf numFmtId="9" fontId="7" fillId="6" borderId="9" xfId="4" applyNumberFormat="1" applyFont="1" applyFill="1" applyBorder="1" applyAlignment="1">
      <alignment horizontal="center"/>
    </xf>
    <xf numFmtId="9" fontId="7" fillId="4" borderId="10" xfId="4" applyNumberFormat="1" applyFont="1" applyFill="1" applyBorder="1" applyAlignment="1">
      <alignment horizontal="center"/>
    </xf>
    <xf numFmtId="9" fontId="7" fillId="4" borderId="0" xfId="4" applyNumberFormat="1" applyFont="1" applyFill="1" applyBorder="1" applyAlignment="1">
      <alignment horizontal="center"/>
    </xf>
    <xf numFmtId="9" fontId="7" fillId="4" borderId="8" xfId="4" applyNumberFormat="1" applyFont="1" applyFill="1" applyBorder="1" applyAlignment="1">
      <alignment horizontal="center"/>
    </xf>
    <xf numFmtId="9" fontId="7" fillId="4" borderId="9" xfId="4" applyNumberFormat="1" applyFont="1" applyFill="1" applyBorder="1" applyAlignment="1">
      <alignment horizontal="center"/>
    </xf>
    <xf numFmtId="1" fontId="7" fillId="4" borderId="28" xfId="0" applyNumberFormat="1" applyFont="1" applyFill="1" applyBorder="1" applyAlignment="1">
      <alignment horizontal="center"/>
    </xf>
    <xf numFmtId="9" fontId="7" fillId="6" borderId="22" xfId="4" applyNumberFormat="1" applyFont="1" applyFill="1" applyBorder="1" applyAlignment="1">
      <alignment horizontal="center"/>
    </xf>
    <xf numFmtId="9" fontId="7" fillId="6" borderId="18" xfId="4" applyNumberFormat="1" applyFont="1" applyFill="1" applyBorder="1" applyAlignment="1">
      <alignment horizontal="center"/>
    </xf>
    <xf numFmtId="1" fontId="7" fillId="6" borderId="7" xfId="0" applyNumberFormat="1" applyFont="1" applyFill="1" applyBorder="1" applyAlignment="1">
      <alignment horizontal="center"/>
    </xf>
    <xf numFmtId="172" fontId="7" fillId="6" borderId="28" xfId="0" quotePrefix="1" applyNumberFormat="1" applyFont="1" applyFill="1" applyBorder="1" applyAlignment="1">
      <alignment horizontal="center"/>
    </xf>
    <xf numFmtId="172" fontId="7" fillId="6" borderId="20" xfId="0" quotePrefix="1" applyNumberFormat="1" applyFont="1" applyFill="1" applyBorder="1" applyAlignment="1">
      <alignment horizontal="center"/>
    </xf>
    <xf numFmtId="173" fontId="7" fillId="6" borderId="10" xfId="2" applyNumberFormat="1" applyFont="1" applyFill="1" applyBorder="1" applyAlignment="1">
      <alignment horizontal="right" indent="4"/>
    </xf>
    <xf numFmtId="173" fontId="7" fillId="6" borderId="15" xfId="2" applyNumberFormat="1" applyFont="1" applyFill="1" applyBorder="1" applyAlignment="1">
      <alignment horizontal="right" indent="4"/>
    </xf>
    <xf numFmtId="167" fontId="7" fillId="6" borderId="10" xfId="2" applyNumberFormat="1" applyFont="1" applyFill="1" applyBorder="1" applyAlignment="1">
      <alignment horizontal="right" indent="4"/>
    </xf>
    <xf numFmtId="167" fontId="7" fillId="6" borderId="15" xfId="2" applyNumberFormat="1" applyFont="1" applyFill="1" applyBorder="1" applyAlignment="1">
      <alignment horizontal="right" indent="4"/>
    </xf>
    <xf numFmtId="173" fontId="7" fillId="4" borderId="10" xfId="2" applyNumberFormat="1" applyFont="1" applyFill="1" applyBorder="1" applyAlignment="1">
      <alignment horizontal="right" indent="4"/>
    </xf>
    <xf numFmtId="173" fontId="7" fillId="4" borderId="9" xfId="2" applyNumberFormat="1" applyFont="1" applyFill="1" applyBorder="1" applyAlignment="1">
      <alignment horizontal="right" indent="4"/>
    </xf>
    <xf numFmtId="167" fontId="7" fillId="4" borderId="10" xfId="2" applyNumberFormat="1" applyFont="1" applyFill="1" applyBorder="1" applyAlignment="1">
      <alignment horizontal="right" indent="4"/>
    </xf>
    <xf numFmtId="167" fontId="7" fillId="4" borderId="9" xfId="2" applyNumberFormat="1" applyFont="1" applyFill="1" applyBorder="1" applyAlignment="1">
      <alignment horizontal="right" indent="4"/>
    </xf>
    <xf numFmtId="9" fontId="7" fillId="4" borderId="22" xfId="4" applyNumberFormat="1" applyFont="1" applyFill="1" applyBorder="1" applyAlignment="1">
      <alignment horizontal="center"/>
    </xf>
    <xf numFmtId="9" fontId="7" fillId="4" borderId="17" xfId="4" applyNumberFormat="1" applyFont="1" applyFill="1" applyBorder="1" applyAlignment="1">
      <alignment horizontal="center"/>
    </xf>
    <xf numFmtId="9" fontId="7" fillId="6" borderId="21" xfId="4" applyNumberFormat="1" applyFont="1" applyFill="1" applyBorder="1" applyAlignment="1">
      <alignment horizontal="center"/>
    </xf>
    <xf numFmtId="172" fontId="7" fillId="6" borderId="11" xfId="0" quotePrefix="1" applyNumberFormat="1" applyFont="1" applyFill="1" applyBorder="1" applyAlignment="1">
      <alignment horizontal="center"/>
    </xf>
    <xf numFmtId="173" fontId="7" fillId="6" borderId="9" xfId="2" applyNumberFormat="1" applyFont="1" applyFill="1" applyBorder="1" applyAlignment="1">
      <alignment horizontal="right" indent="4"/>
    </xf>
    <xf numFmtId="167" fontId="7" fillId="6" borderId="9" xfId="2" applyNumberFormat="1" applyFont="1" applyFill="1" applyBorder="1" applyAlignment="1">
      <alignment horizontal="right" indent="4"/>
    </xf>
    <xf numFmtId="167" fontId="21" fillId="6" borderId="10" xfId="1" applyNumberFormat="1" applyFont="1" applyFill="1" applyBorder="1" applyAlignment="1">
      <alignment horizontal="right" indent="4"/>
    </xf>
    <xf numFmtId="167" fontId="21" fillId="6" borderId="9" xfId="1" applyNumberFormat="1" applyFont="1" applyFill="1" applyBorder="1" applyAlignment="1">
      <alignment horizontal="right" indent="4"/>
    </xf>
    <xf numFmtId="167" fontId="20" fillId="4" borderId="10" xfId="2" applyNumberFormat="1" applyFont="1" applyFill="1" applyBorder="1" applyAlignment="1">
      <alignment horizontal="right" indent="4"/>
    </xf>
    <xf numFmtId="167" fontId="20" fillId="4" borderId="9" xfId="2" applyNumberFormat="1" applyFont="1" applyFill="1" applyBorder="1" applyAlignment="1">
      <alignment horizontal="right" indent="4"/>
    </xf>
    <xf numFmtId="173" fontId="27" fillId="4" borderId="22" xfId="2" applyNumberFormat="1" applyFont="1" applyFill="1" applyBorder="1" applyAlignment="1">
      <alignment horizontal="right" vertical="center" indent="4"/>
    </xf>
    <xf numFmtId="173" fontId="27" fillId="4" borderId="21" xfId="2" applyNumberFormat="1" applyFont="1" applyFill="1" applyBorder="1" applyAlignment="1">
      <alignment horizontal="right" vertical="center" indent="4"/>
    </xf>
    <xf numFmtId="0" fontId="7" fillId="5" borderId="12" xfId="0" applyFont="1" applyFill="1" applyBorder="1" applyAlignment="1">
      <alignment horizontal="center" wrapText="1"/>
    </xf>
    <xf numFmtId="0" fontId="7" fillId="5" borderId="13" xfId="0" applyFont="1" applyFill="1" applyBorder="1" applyAlignment="1">
      <alignment horizontal="center" wrapText="1"/>
    </xf>
    <xf numFmtId="172" fontId="7" fillId="4" borderId="27" xfId="0" quotePrefix="1" applyNumberFormat="1" applyFont="1" applyFill="1" applyBorder="1" applyAlignment="1">
      <alignment horizontal="center"/>
    </xf>
    <xf numFmtId="172" fontId="7" fillId="4" borderId="11" xfId="0" quotePrefix="1" applyNumberFormat="1" applyFont="1" applyFill="1" applyBorder="1" applyAlignment="1">
      <alignment horizontal="center"/>
    </xf>
    <xf numFmtId="167" fontId="20" fillId="6" borderId="9" xfId="2" applyNumberFormat="1" applyFont="1" applyFill="1" applyBorder="1" applyAlignment="1">
      <alignment horizontal="right" indent="4"/>
    </xf>
    <xf numFmtId="166" fontId="26" fillId="4" borderId="0" xfId="0" applyNumberFormat="1" applyFont="1" applyFill="1" applyBorder="1" applyAlignment="1">
      <alignment horizontal="right" vertical="center" indent="4"/>
    </xf>
    <xf numFmtId="1" fontId="7" fillId="4" borderId="37" xfId="0" applyNumberFormat="1" applyFont="1" applyFill="1" applyBorder="1" applyAlignment="1">
      <alignment horizontal="center"/>
    </xf>
    <xf numFmtId="172" fontId="5" fillId="4" borderId="29" xfId="0" applyNumberFormat="1" applyFont="1" applyFill="1" applyBorder="1" applyAlignment="1">
      <alignment horizontal="center"/>
    </xf>
    <xf numFmtId="167" fontId="20" fillId="4" borderId="8" xfId="2" applyNumberFormat="1" applyFont="1" applyFill="1" applyBorder="1" applyAlignment="1">
      <alignment horizontal="right" indent="4"/>
    </xf>
    <xf numFmtId="173" fontId="7" fillId="4" borderId="8" xfId="2" applyNumberFormat="1" applyFont="1" applyFill="1" applyBorder="1" applyAlignment="1">
      <alignment horizontal="right" indent="4"/>
    </xf>
    <xf numFmtId="173" fontId="27" fillId="4" borderId="16" xfId="2" applyNumberFormat="1" applyFont="1" applyFill="1" applyBorder="1" applyAlignment="1">
      <alignment horizontal="right" vertical="center" indent="4"/>
    </xf>
    <xf numFmtId="173" fontId="27" fillId="6" borderId="21" xfId="2" applyNumberFormat="1" applyFont="1" applyFill="1" applyBorder="1" applyAlignment="1">
      <alignment horizontal="right" vertical="center" indent="4"/>
    </xf>
    <xf numFmtId="0" fontId="2" fillId="0" borderId="0" xfId="0" applyFont="1" applyAlignment="1">
      <alignment horizontal="left" wrapText="1"/>
    </xf>
    <xf numFmtId="177" fontId="7" fillId="0" borderId="0" xfId="0" applyNumberFormat="1" applyFont="1" applyAlignment="1">
      <alignment horizontal="left"/>
    </xf>
    <xf numFmtId="0" fontId="11" fillId="3" borderId="23"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35" xfId="0" applyFont="1" applyFill="1" applyBorder="1" applyAlignment="1">
      <alignment horizontal="left" vertical="center" wrapText="1"/>
    </xf>
    <xf numFmtId="172" fontId="7" fillId="4" borderId="28" xfId="0" quotePrefix="1" applyNumberFormat="1" applyFont="1" applyFill="1" applyBorder="1" applyAlignment="1">
      <alignment horizontal="center"/>
    </xf>
    <xf numFmtId="167" fontId="21" fillId="4" borderId="10" xfId="1" applyNumberFormat="1" applyFont="1" applyFill="1" applyBorder="1" applyAlignment="1">
      <alignment horizontal="right" indent="4"/>
    </xf>
    <xf numFmtId="167" fontId="21" fillId="4" borderId="9" xfId="1" applyNumberFormat="1" applyFont="1" applyFill="1" applyBorder="1" applyAlignment="1">
      <alignment horizontal="right" indent="4"/>
    </xf>
    <xf numFmtId="9" fontId="7" fillId="4" borderId="16" xfId="4" applyNumberFormat="1" applyFont="1" applyFill="1" applyBorder="1" applyAlignment="1">
      <alignment horizontal="center"/>
    </xf>
    <xf numFmtId="9" fontId="7" fillId="4" borderId="21" xfId="4" applyNumberFormat="1" applyFont="1" applyFill="1" applyBorder="1" applyAlignment="1">
      <alignment horizontal="center"/>
    </xf>
    <xf numFmtId="0" fontId="13" fillId="0" borderId="0" xfId="0" applyFont="1" applyAlignment="1">
      <alignment horizontal="center"/>
    </xf>
    <xf numFmtId="1" fontId="5" fillId="4" borderId="36" xfId="0" applyNumberFormat="1" applyFont="1" applyFill="1" applyBorder="1" applyAlignment="1">
      <alignment horizontal="center"/>
    </xf>
    <xf numFmtId="1" fontId="5" fillId="4" borderId="35" xfId="0" applyNumberFormat="1" applyFont="1" applyFill="1" applyBorder="1" applyAlignment="1">
      <alignment horizontal="center"/>
    </xf>
    <xf numFmtId="1" fontId="5" fillId="6" borderId="35" xfId="0" applyNumberFormat="1" applyFont="1" applyFill="1" applyBorder="1" applyAlignment="1">
      <alignment horizontal="center"/>
    </xf>
    <xf numFmtId="9" fontId="7" fillId="4" borderId="8" xfId="4" quotePrefix="1" applyFont="1" applyFill="1" applyBorder="1" applyAlignment="1">
      <alignment horizontal="center"/>
    </xf>
    <xf numFmtId="9" fontId="7" fillId="4" borderId="9" xfId="4" quotePrefix="1" applyFont="1" applyFill="1" applyBorder="1" applyAlignment="1">
      <alignment horizontal="center"/>
    </xf>
    <xf numFmtId="9" fontId="7" fillId="6" borderId="9" xfId="4" quotePrefix="1" applyFont="1" applyFill="1" applyBorder="1" applyAlignment="1">
      <alignment horizontal="center"/>
    </xf>
    <xf numFmtId="1" fontId="5" fillId="4" borderId="31" xfId="0" applyNumberFormat="1" applyFont="1" applyFill="1" applyBorder="1" applyAlignment="1">
      <alignment horizontal="center"/>
    </xf>
    <xf numFmtId="0" fontId="33" fillId="3" borderId="8" xfId="0" applyFont="1" applyFill="1" applyBorder="1" applyAlignment="1">
      <alignment horizontal="center" wrapText="1"/>
    </xf>
    <xf numFmtId="0" fontId="33" fillId="3" borderId="0" xfId="0" applyFont="1" applyFill="1" applyBorder="1" applyAlignment="1">
      <alignment horizontal="center" wrapText="1"/>
    </xf>
    <xf numFmtId="4" fontId="24" fillId="4" borderId="0" xfId="0" applyNumberFormat="1" applyFont="1" applyFill="1" applyBorder="1" applyAlignment="1">
      <alignment horizontal="right" indent="4"/>
    </xf>
    <xf numFmtId="9" fontId="7" fillId="4" borderId="10" xfId="4" quotePrefix="1" applyFont="1" applyFill="1" applyBorder="1" applyAlignment="1">
      <alignment horizontal="center"/>
    </xf>
    <xf numFmtId="0" fontId="11" fillId="0" borderId="8" xfId="0" applyFont="1" applyBorder="1" applyAlignment="1">
      <alignment horizontal="center" wrapText="1"/>
    </xf>
    <xf numFmtId="0" fontId="11" fillId="0" borderId="0" xfId="0" applyFont="1" applyBorder="1" applyAlignment="1">
      <alignment horizontal="center" wrapText="1"/>
    </xf>
    <xf numFmtId="173" fontId="7" fillId="6" borderId="18" xfId="2" quotePrefix="1" applyNumberFormat="1" applyFont="1" applyFill="1" applyBorder="1" applyAlignment="1">
      <alignment horizontal="right" vertical="center" indent="5"/>
    </xf>
    <xf numFmtId="167" fontId="21" fillId="6" borderId="15" xfId="1" applyNumberFormat="1" applyFont="1" applyFill="1" applyBorder="1" applyAlignment="1">
      <alignment horizontal="right" indent="4"/>
    </xf>
    <xf numFmtId="167" fontId="7" fillId="4" borderId="8" xfId="2" applyNumberFormat="1" applyFont="1" applyFill="1" applyBorder="1" applyAlignment="1">
      <alignment horizontal="right" indent="4"/>
    </xf>
    <xf numFmtId="167" fontId="21" fillId="4" borderId="8" xfId="1" applyNumberFormat="1" applyFont="1" applyFill="1" applyBorder="1" applyAlignment="1">
      <alignment horizontal="right" indent="4"/>
    </xf>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horizontal="left" vertical="center" wrapText="1"/>
    </xf>
    <xf numFmtId="0" fontId="5" fillId="0" borderId="0" xfId="3" applyFont="1" applyAlignment="1">
      <alignment horizontal="left" vertical="center" wrapText="1"/>
    </xf>
  </cellXfs>
  <cellStyles count="5">
    <cellStyle name="Comma" xfId="1" builtinId="3"/>
    <cellStyle name="Currency" xfId="2" builtinId="4"/>
    <cellStyle name="Normal" xfId="0" builtinId="0"/>
    <cellStyle name="Normal_08 Chapter model" xfId="3"/>
    <cellStyle name="Percent" xfId="4" builtinId="5"/>
  </cellStyles>
  <dxfs count="2">
    <dxf>
      <font>
        <condense val="0"/>
        <extend val="0"/>
        <color indexed="13"/>
      </font>
      <fill>
        <patternFill>
          <bgColor indexed="10"/>
        </patternFill>
      </fill>
    </dxf>
    <dxf>
      <font>
        <strike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18548963839188"/>
          <c:y val="0.15991026162694796"/>
          <c:w val="0.78956358764005208"/>
          <c:h val="0.59910041679955151"/>
        </c:manualLayout>
      </c:layout>
      <c:scatterChart>
        <c:scatterStyle val="lineMarker"/>
        <c:varyColors val="0"/>
        <c:ser>
          <c:idx val="0"/>
          <c:order val="0"/>
          <c:tx>
            <c:v>Price per share (Dividends)</c:v>
          </c:tx>
          <c:spPr>
            <a:ln w="25400">
              <a:solidFill>
                <a:srgbClr val="FF0000"/>
              </a:solidFill>
              <a:prstDash val="solid"/>
            </a:ln>
          </c:spPr>
          <c:marker>
            <c:symbol val="circle"/>
            <c:size val="5"/>
            <c:spPr>
              <a:solidFill>
                <a:srgbClr val="FF0000"/>
              </a:solidFill>
              <a:ln>
                <a:solidFill>
                  <a:srgbClr val="FF0000"/>
                </a:solidFill>
                <a:prstDash val="solid"/>
              </a:ln>
            </c:spPr>
          </c:marker>
          <c:dLbls>
            <c:dLbl>
              <c:idx val="8"/>
              <c:spPr>
                <a:noFill/>
                <a:ln w="25400">
                  <a:noFill/>
                </a:ln>
              </c:spPr>
              <c:txPr>
                <a:bodyPr/>
                <a:lstStyle/>
                <a:p>
                  <a:pPr>
                    <a:defRPr sz="975"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dLbl>
            <c:showLegendKey val="0"/>
            <c:showVal val="0"/>
            <c:showCatName val="0"/>
            <c:showSerName val="0"/>
            <c:showPercent val="0"/>
            <c:showBubbleSize val="0"/>
          </c:dLbls>
          <c:xVal>
            <c:numRef>
              <c:f>Chapter!$C$271:$K$271</c:f>
              <c:numCache>
                <c:formatCode>m/d;@</c:formatCode>
                <c:ptCount val="9"/>
                <c:pt idx="0" formatCode="m/d/yy;@">
                  <c:v>40543</c:v>
                </c:pt>
                <c:pt idx="1">
                  <c:v>40907</c:v>
                </c:pt>
                <c:pt idx="2">
                  <c:v>40908</c:v>
                </c:pt>
                <c:pt idx="3">
                  <c:v>41273</c:v>
                </c:pt>
                <c:pt idx="4">
                  <c:v>41274</c:v>
                </c:pt>
                <c:pt idx="5">
                  <c:v>41638</c:v>
                </c:pt>
                <c:pt idx="6">
                  <c:v>41639</c:v>
                </c:pt>
                <c:pt idx="7">
                  <c:v>42003</c:v>
                </c:pt>
                <c:pt idx="8">
                  <c:v>42004</c:v>
                </c:pt>
              </c:numCache>
            </c:numRef>
          </c:xVal>
          <c:yVal>
            <c:numRef>
              <c:f>Chapter!$C$279:$K$279</c:f>
              <c:numCache>
                <c:formatCode>"$"#,##0.00</c:formatCode>
                <c:ptCount val="9"/>
                <c:pt idx="0">
                  <c:v>9.5942857142856575</c:v>
                </c:pt>
                <c:pt idx="1">
                  <c:v>10.745599999999937</c:v>
                </c:pt>
                <c:pt idx="2">
                  <c:v>10.073999999999936</c:v>
                </c:pt>
                <c:pt idx="3">
                  <c:v>11.282879999999929</c:v>
                </c:pt>
                <c:pt idx="4">
                  <c:v>10.577699999999929</c:v>
                </c:pt>
                <c:pt idx="5">
                  <c:v>11.847023999999863</c:v>
                </c:pt>
                <c:pt idx="6">
                  <c:v>11.106584999999864</c:v>
                </c:pt>
                <c:pt idx="7">
                  <c:v>12.43937519999985</c:v>
                </c:pt>
                <c:pt idx="8">
                  <c:v>11.66191424999985</c:v>
                </c:pt>
              </c:numCache>
            </c:numRef>
          </c:yVal>
          <c:smooth val="0"/>
        </c:ser>
        <c:ser>
          <c:idx val="1"/>
          <c:order val="1"/>
          <c:tx>
            <c:v>Price per share (Repurchase)</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8"/>
              <c:spPr>
                <a:noFill/>
                <a:ln w="25400">
                  <a:noFill/>
                </a:ln>
              </c:spPr>
              <c:txPr>
                <a:bodyPr/>
                <a:lstStyle/>
                <a:p>
                  <a:pPr>
                    <a:defRPr sz="975"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dLbl>
            <c:showLegendKey val="0"/>
            <c:showVal val="0"/>
            <c:showCatName val="0"/>
            <c:showSerName val="0"/>
            <c:showPercent val="0"/>
            <c:showBubbleSize val="0"/>
          </c:dLbls>
          <c:xVal>
            <c:numRef>
              <c:f>Chapter!$C$271:$K$271</c:f>
              <c:numCache>
                <c:formatCode>m/d;@</c:formatCode>
                <c:ptCount val="9"/>
                <c:pt idx="0" formatCode="m/d/yy;@">
                  <c:v>40543</c:v>
                </c:pt>
                <c:pt idx="1">
                  <c:v>40907</c:v>
                </c:pt>
                <c:pt idx="2">
                  <c:v>40908</c:v>
                </c:pt>
                <c:pt idx="3">
                  <c:v>41273</c:v>
                </c:pt>
                <c:pt idx="4">
                  <c:v>41274</c:v>
                </c:pt>
                <c:pt idx="5">
                  <c:v>41638</c:v>
                </c:pt>
                <c:pt idx="6">
                  <c:v>41639</c:v>
                </c:pt>
                <c:pt idx="7">
                  <c:v>42003</c:v>
                </c:pt>
                <c:pt idx="8">
                  <c:v>42004</c:v>
                </c:pt>
              </c:numCache>
            </c:numRef>
          </c:xVal>
          <c:yVal>
            <c:numRef>
              <c:f>Chapter!$C$291:$K$291</c:f>
              <c:numCache>
                <c:formatCode>"$"#,##0.00</c:formatCode>
                <c:ptCount val="9"/>
                <c:pt idx="0">
                  <c:v>9.5942857142856575</c:v>
                </c:pt>
                <c:pt idx="1">
                  <c:v>10.745599999999937</c:v>
                </c:pt>
                <c:pt idx="2">
                  <c:v>10.745599999999937</c:v>
                </c:pt>
                <c:pt idx="3">
                  <c:v>12.035071999999932</c:v>
                </c:pt>
                <c:pt idx="4">
                  <c:v>12.03507199999993</c:v>
                </c:pt>
                <c:pt idx="5">
                  <c:v>13.479280639999857</c:v>
                </c:pt>
                <c:pt idx="6">
                  <c:v>13.479280639999857</c:v>
                </c:pt>
                <c:pt idx="7">
                  <c:v>15.096794316799841</c:v>
                </c:pt>
                <c:pt idx="8">
                  <c:v>15.096794316799841</c:v>
                </c:pt>
              </c:numCache>
            </c:numRef>
          </c:yVal>
          <c:smooth val="0"/>
        </c:ser>
        <c:dLbls>
          <c:showLegendKey val="0"/>
          <c:showVal val="0"/>
          <c:showCatName val="0"/>
          <c:showSerName val="0"/>
          <c:showPercent val="0"/>
          <c:showBubbleSize val="0"/>
        </c:dLbls>
        <c:axId val="90625152"/>
        <c:axId val="90627072"/>
      </c:scatterChart>
      <c:valAx>
        <c:axId val="90625152"/>
        <c:scaling>
          <c:orientation val="minMax"/>
          <c:min val="40543"/>
        </c:scaling>
        <c:delete val="0"/>
        <c:axPos val="b"/>
        <c:title>
          <c:tx>
            <c:rich>
              <a:bodyPr/>
              <a:lstStyle/>
              <a:p>
                <a:pPr>
                  <a:defRPr sz="975" b="1" i="0" u="none" strike="noStrike" baseline="0">
                    <a:solidFill>
                      <a:srgbClr val="000000"/>
                    </a:solidFill>
                    <a:latin typeface="Arial"/>
                    <a:ea typeface="Arial"/>
                    <a:cs typeface="Arial"/>
                  </a:defRPr>
                </a:pPr>
                <a:r>
                  <a:rPr lang="en-US"/>
                  <a:t>End of Month</a:t>
                </a:r>
              </a:p>
            </c:rich>
          </c:tx>
          <c:layout>
            <c:manualLayout>
              <c:xMode val="edge"/>
              <c:yMode val="edge"/>
              <c:x val="0.84680273898282787"/>
              <c:y val="0.91216416843540682"/>
            </c:manualLayout>
          </c:layout>
          <c:overlay val="0"/>
          <c:spPr>
            <a:noFill/>
            <a:ln w="25400">
              <a:noFill/>
            </a:ln>
          </c:spPr>
        </c:title>
        <c:numFmt formatCode="[$-409]mmm\-yyyy;@" sourceLinked="0"/>
        <c:majorTickMark val="out"/>
        <c:minorTickMark val="none"/>
        <c:tickLblPos val="nextTo"/>
        <c:spPr>
          <a:ln w="25400">
            <a:solidFill>
              <a:srgbClr val="000000"/>
            </a:solidFill>
            <a:prstDash val="solid"/>
          </a:ln>
        </c:spPr>
        <c:txPr>
          <a:bodyPr rot="-3240000" vert="horz"/>
          <a:lstStyle/>
          <a:p>
            <a:pPr>
              <a:defRPr sz="900" b="1" i="0" u="none" strike="noStrike" baseline="0">
                <a:solidFill>
                  <a:srgbClr val="000000"/>
                </a:solidFill>
                <a:latin typeface="Arial"/>
                <a:ea typeface="Arial"/>
                <a:cs typeface="Arial"/>
              </a:defRPr>
            </a:pPr>
            <a:endParaRPr lang="en-US"/>
          </a:p>
        </c:txPr>
        <c:crossAx val="90627072"/>
        <c:crosses val="autoZero"/>
        <c:crossBetween val="midCat"/>
        <c:majorUnit val="365"/>
        <c:minorUnit val="365"/>
      </c:valAx>
      <c:valAx>
        <c:axId val="90627072"/>
        <c:scaling>
          <c:orientation val="minMax"/>
          <c:min val="8"/>
        </c:scaling>
        <c:delete val="0"/>
        <c:axPos val="l"/>
        <c:title>
          <c:tx>
            <c:rich>
              <a:bodyPr rot="0" vert="horz"/>
              <a:lstStyle/>
              <a:p>
                <a:pPr algn="ctr">
                  <a:defRPr sz="975" b="1" i="0" u="none" strike="noStrike" baseline="0">
                    <a:solidFill>
                      <a:srgbClr val="000000"/>
                    </a:solidFill>
                    <a:latin typeface="Arial"/>
                    <a:ea typeface="Arial"/>
                    <a:cs typeface="Arial"/>
                  </a:defRPr>
                </a:pPr>
                <a:r>
                  <a:rPr lang="en-US"/>
                  <a:t>Stock
Price</a:t>
                </a:r>
              </a:p>
            </c:rich>
          </c:tx>
          <c:layout>
            <c:manualLayout>
              <c:xMode val="edge"/>
              <c:yMode val="edge"/>
              <c:x val="0.14983189616197162"/>
              <c:y val="2.477482926614686E-2"/>
            </c:manualLayout>
          </c:layout>
          <c:overlay val="0"/>
          <c:spPr>
            <a:noFill/>
            <a:ln w="25400">
              <a:noFill/>
            </a:ln>
          </c:spPr>
        </c:title>
        <c:numFmt formatCode="&quot;$&quot;#,##0.00" sourceLinked="1"/>
        <c:majorTickMark val="out"/>
        <c:minorTickMark val="none"/>
        <c:tickLblPos val="nextTo"/>
        <c:spPr>
          <a:ln w="25400">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90625152"/>
        <c:crosses val="autoZero"/>
        <c:crossBetween val="midCat"/>
      </c:valAx>
      <c:spPr>
        <a:noFill/>
        <a:ln w="25400">
          <a:noFill/>
        </a:ln>
      </c:spPr>
    </c:plotArea>
    <c:plotVisOnly val="1"/>
    <c:dispBlanksAs val="gap"/>
    <c:showDLblsOverMax val="0"/>
  </c:chart>
  <c:spPr>
    <a:solidFill>
      <a:srgbClr val="FFFFCC"/>
    </a:solidFill>
    <a:ln w="25400">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244</xdr:row>
      <xdr:rowOff>0</xdr:rowOff>
    </xdr:from>
    <xdr:to>
      <xdr:col>6</xdr:col>
      <xdr:colOff>714375</xdr:colOff>
      <xdr:row>267</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8"/>
  <sheetViews>
    <sheetView topLeftCell="A171" zoomScaleNormal="100" zoomScaleSheetLayoutView="100" workbookViewId="0">
      <selection activeCell="A198" sqref="A198"/>
    </sheetView>
  </sheetViews>
  <sheetFormatPr defaultRowHeight="12.75" x14ac:dyDescent="0.2"/>
  <cols>
    <col min="1" max="1" width="21.5" style="23" customWidth="1"/>
    <col min="2" max="2" width="12.5" style="23" customWidth="1"/>
    <col min="3" max="3" width="14" style="23" customWidth="1"/>
    <col min="4" max="11" width="12.83203125" style="23" customWidth="1"/>
    <col min="12" max="13" width="9.33203125" style="23"/>
    <col min="14" max="14" width="12" style="23" bestFit="1" customWidth="1"/>
    <col min="15" max="16384" width="9.33203125" style="23"/>
  </cols>
  <sheetData>
    <row r="1" spans="1:9" x14ac:dyDescent="0.2">
      <c r="E1" s="24"/>
      <c r="F1" s="24"/>
      <c r="I1" s="25">
        <v>40279</v>
      </c>
    </row>
    <row r="3" spans="1:9" ht="15.75" x14ac:dyDescent="0.25">
      <c r="A3" s="479" t="s">
        <v>37</v>
      </c>
      <c r="B3" s="479"/>
      <c r="C3" s="479"/>
      <c r="D3" s="479"/>
      <c r="E3" s="479"/>
      <c r="F3" s="479"/>
      <c r="G3" s="479"/>
      <c r="H3" s="479"/>
      <c r="I3" s="479"/>
    </row>
    <row r="4" spans="1:9" ht="15.75" x14ac:dyDescent="0.25">
      <c r="A4" s="26"/>
      <c r="B4" s="26"/>
      <c r="C4" s="26"/>
      <c r="D4" s="26"/>
      <c r="E4" s="26"/>
      <c r="F4" s="26"/>
      <c r="G4" s="26"/>
      <c r="H4" s="26"/>
      <c r="I4" s="26"/>
    </row>
    <row r="5" spans="1:9" ht="15" customHeight="1" x14ac:dyDescent="0.25">
      <c r="A5" s="463" t="s">
        <v>166</v>
      </c>
      <c r="B5" s="463"/>
      <c r="C5" s="463"/>
      <c r="D5" s="463"/>
      <c r="E5" s="463"/>
      <c r="F5" s="463"/>
      <c r="G5" s="463"/>
      <c r="H5" s="463"/>
      <c r="I5" s="463"/>
    </row>
    <row r="6" spans="1:9" ht="15" customHeight="1" x14ac:dyDescent="0.25">
      <c r="A6" s="50"/>
      <c r="B6" s="50"/>
      <c r="C6" s="50"/>
      <c r="D6" s="50"/>
      <c r="E6" s="50"/>
      <c r="F6" s="50"/>
      <c r="G6" s="50"/>
      <c r="H6" s="50"/>
      <c r="I6" s="50"/>
    </row>
    <row r="7" spans="1:9" ht="15" customHeight="1" x14ac:dyDescent="0.25">
      <c r="B7" s="321" t="s">
        <v>167</v>
      </c>
      <c r="C7" s="464">
        <v>40493</v>
      </c>
      <c r="D7" s="464"/>
      <c r="E7" s="464"/>
      <c r="F7" s="320"/>
      <c r="G7" s="320"/>
      <c r="H7" s="320"/>
      <c r="I7" s="320"/>
    </row>
    <row r="8" spans="1:9" ht="15" customHeight="1" x14ac:dyDescent="0.25">
      <c r="A8" s="320"/>
      <c r="B8" s="321" t="s">
        <v>168</v>
      </c>
      <c r="C8" s="464">
        <v>40519</v>
      </c>
      <c r="D8" s="464"/>
      <c r="E8" s="464"/>
      <c r="F8" s="320"/>
      <c r="G8" s="320"/>
      <c r="H8" s="320"/>
      <c r="I8" s="320"/>
    </row>
    <row r="9" spans="1:9" ht="15" customHeight="1" x14ac:dyDescent="0.25">
      <c r="A9" s="320"/>
      <c r="B9" s="321" t="s">
        <v>169</v>
      </c>
      <c r="C9" s="464">
        <f>C8+1</f>
        <v>40520</v>
      </c>
      <c r="D9" s="464"/>
      <c r="E9" s="464"/>
      <c r="F9" s="320"/>
      <c r="G9" s="320"/>
      <c r="H9" s="320"/>
      <c r="I9" s="320"/>
    </row>
    <row r="10" spans="1:9" ht="15" customHeight="1" x14ac:dyDescent="0.25">
      <c r="A10" s="320"/>
      <c r="B10" s="321"/>
      <c r="C10" s="464">
        <f>C9+1</f>
        <v>40521</v>
      </c>
      <c r="D10" s="464"/>
      <c r="E10" s="464"/>
      <c r="F10" s="320"/>
      <c r="G10" s="320"/>
      <c r="H10" s="320"/>
      <c r="I10" s="320"/>
    </row>
    <row r="11" spans="1:9" ht="15" customHeight="1" x14ac:dyDescent="0.25">
      <c r="A11" s="320"/>
      <c r="B11" s="321" t="s">
        <v>170</v>
      </c>
      <c r="C11" s="464">
        <f>C10+1</f>
        <v>40522</v>
      </c>
      <c r="D11" s="464"/>
      <c r="E11" s="464"/>
      <c r="F11" s="320"/>
      <c r="G11" s="320"/>
      <c r="H11" s="320"/>
      <c r="I11" s="320"/>
    </row>
    <row r="12" spans="1:9" ht="15" customHeight="1" x14ac:dyDescent="0.25">
      <c r="A12" s="320"/>
      <c r="B12" s="321" t="s">
        <v>171</v>
      </c>
      <c r="C12" s="464">
        <v>40550</v>
      </c>
      <c r="D12" s="464"/>
      <c r="E12" s="464"/>
      <c r="F12" s="320"/>
      <c r="G12" s="320"/>
      <c r="H12" s="320"/>
      <c r="I12" s="320"/>
    </row>
    <row r="13" spans="1:9" ht="15" customHeight="1" x14ac:dyDescent="0.25">
      <c r="A13" s="320"/>
      <c r="B13" s="320"/>
      <c r="C13" s="320"/>
      <c r="D13" s="320"/>
      <c r="E13" s="320"/>
      <c r="F13" s="320"/>
      <c r="G13" s="320"/>
      <c r="H13" s="320"/>
      <c r="I13" s="320"/>
    </row>
    <row r="14" spans="1:9" ht="15" customHeight="1" x14ac:dyDescent="0.25">
      <c r="A14" s="320"/>
      <c r="B14" s="320"/>
      <c r="C14" s="320"/>
      <c r="D14" s="320"/>
      <c r="E14" s="320"/>
      <c r="F14" s="320"/>
      <c r="G14" s="320"/>
      <c r="H14" s="320"/>
      <c r="I14" s="320"/>
    </row>
    <row r="15" spans="1:9" ht="15" customHeight="1" x14ac:dyDescent="0.2">
      <c r="A15" s="463" t="s">
        <v>45</v>
      </c>
      <c r="B15" s="463"/>
      <c r="C15" s="463"/>
      <c r="D15" s="463"/>
      <c r="E15" s="463"/>
      <c r="F15" s="463"/>
      <c r="G15" s="463"/>
      <c r="H15" s="463"/>
      <c r="I15" s="463"/>
    </row>
    <row r="16" spans="1:9" ht="15" customHeight="1" x14ac:dyDescent="0.2">
      <c r="A16" s="463"/>
      <c r="B16" s="463"/>
      <c r="C16" s="463"/>
      <c r="D16" s="463"/>
      <c r="E16" s="463"/>
      <c r="F16" s="463"/>
      <c r="G16" s="463"/>
      <c r="H16" s="463"/>
      <c r="I16" s="463"/>
    </row>
    <row r="18" spans="1:15" x14ac:dyDescent="0.2">
      <c r="A18" s="465" t="s">
        <v>8</v>
      </c>
      <c r="B18" s="466"/>
      <c r="C18" s="466"/>
      <c r="D18" s="466"/>
      <c r="E18" s="466"/>
      <c r="F18" s="466"/>
      <c r="G18" s="466"/>
      <c r="H18" s="466"/>
      <c r="I18" s="467"/>
    </row>
    <row r="19" spans="1:15" x14ac:dyDescent="0.2">
      <c r="A19" s="468"/>
      <c r="B19" s="469"/>
      <c r="C19" s="469"/>
      <c r="D19" s="469"/>
      <c r="E19" s="469"/>
      <c r="F19" s="469"/>
      <c r="G19" s="469"/>
      <c r="H19" s="469"/>
      <c r="I19" s="470"/>
    </row>
    <row r="20" spans="1:15" x14ac:dyDescent="0.2">
      <c r="A20" s="471"/>
      <c r="B20" s="472"/>
      <c r="C20" s="472"/>
      <c r="D20" s="472"/>
      <c r="E20" s="472"/>
      <c r="F20" s="472"/>
      <c r="G20" s="472"/>
      <c r="H20" s="472"/>
      <c r="I20" s="473"/>
    </row>
    <row r="22" spans="1:15" x14ac:dyDescent="0.2">
      <c r="A22" s="465" t="s">
        <v>9</v>
      </c>
      <c r="B22" s="466"/>
      <c r="C22" s="466"/>
      <c r="D22" s="466"/>
      <c r="E22" s="466"/>
      <c r="F22" s="466"/>
      <c r="G22" s="466"/>
      <c r="H22" s="466"/>
      <c r="I22" s="467"/>
    </row>
    <row r="23" spans="1:15" x14ac:dyDescent="0.2">
      <c r="A23" s="468"/>
      <c r="B23" s="469"/>
      <c r="C23" s="469"/>
      <c r="D23" s="469"/>
      <c r="E23" s="469"/>
      <c r="F23" s="469"/>
      <c r="G23" s="469"/>
      <c r="H23" s="469"/>
      <c r="I23" s="470"/>
    </row>
    <row r="24" spans="1:15" x14ac:dyDescent="0.2">
      <c r="A24" s="468"/>
      <c r="B24" s="469"/>
      <c r="C24" s="469"/>
      <c r="D24" s="469"/>
      <c r="E24" s="469"/>
      <c r="F24" s="469"/>
      <c r="G24" s="469"/>
      <c r="H24" s="469"/>
      <c r="I24" s="470"/>
    </row>
    <row r="25" spans="1:15" x14ac:dyDescent="0.2">
      <c r="A25" s="468"/>
      <c r="B25" s="469"/>
      <c r="C25" s="469"/>
      <c r="D25" s="469"/>
      <c r="E25" s="469"/>
      <c r="F25" s="469"/>
      <c r="G25" s="469"/>
      <c r="H25" s="469"/>
      <c r="I25" s="470"/>
    </row>
    <row r="26" spans="1:15" x14ac:dyDescent="0.2">
      <c r="A26" s="471"/>
      <c r="B26" s="472"/>
      <c r="C26" s="472"/>
      <c r="D26" s="472"/>
      <c r="E26" s="472"/>
      <c r="F26" s="472"/>
      <c r="G26" s="472"/>
      <c r="H26" s="472"/>
      <c r="I26" s="473"/>
    </row>
    <row r="28" spans="1:15" x14ac:dyDescent="0.2">
      <c r="A28" s="44"/>
      <c r="B28" s="45" t="s">
        <v>10</v>
      </c>
      <c r="C28" s="44" t="s">
        <v>1</v>
      </c>
      <c r="D28" s="44"/>
      <c r="E28" s="44"/>
      <c r="F28" s="44"/>
      <c r="G28" s="44"/>
    </row>
    <row r="30" spans="1:15" x14ac:dyDescent="0.2">
      <c r="A30" s="27"/>
    </row>
    <row r="31" spans="1:15" x14ac:dyDescent="0.2">
      <c r="A31" s="465" t="s">
        <v>11</v>
      </c>
      <c r="B31" s="466"/>
      <c r="C31" s="466"/>
      <c r="D31" s="466"/>
      <c r="E31" s="466"/>
      <c r="F31" s="466"/>
      <c r="G31" s="466"/>
      <c r="H31" s="467"/>
      <c r="O31" s="28"/>
    </row>
    <row r="32" spans="1:15" x14ac:dyDescent="0.2">
      <c r="A32" s="468"/>
      <c r="B32" s="469"/>
      <c r="C32" s="469"/>
      <c r="D32" s="469"/>
      <c r="E32" s="469"/>
      <c r="F32" s="469"/>
      <c r="G32" s="469"/>
      <c r="H32" s="470"/>
    </row>
    <row r="33" spans="1:8" x14ac:dyDescent="0.2">
      <c r="A33" s="471"/>
      <c r="B33" s="472"/>
      <c r="C33" s="472"/>
      <c r="D33" s="472"/>
      <c r="E33" s="472"/>
      <c r="F33" s="472"/>
      <c r="G33" s="472"/>
      <c r="H33" s="473"/>
    </row>
    <row r="35" spans="1:8" x14ac:dyDescent="0.2">
      <c r="A35" s="3" t="s">
        <v>2</v>
      </c>
      <c r="B35" s="3"/>
      <c r="C35" s="29">
        <v>100</v>
      </c>
    </row>
    <row r="36" spans="1:8" x14ac:dyDescent="0.2">
      <c r="A36" s="3" t="s">
        <v>3</v>
      </c>
      <c r="B36" s="3"/>
      <c r="C36" s="5">
        <v>0.6</v>
      </c>
    </row>
    <row r="37" spans="1:8" x14ac:dyDescent="0.2">
      <c r="A37" s="3" t="s">
        <v>4</v>
      </c>
      <c r="B37" s="3"/>
      <c r="C37" s="29">
        <v>50</v>
      </c>
    </row>
    <row r="39" spans="1:8" x14ac:dyDescent="0.2">
      <c r="A39" s="3" t="s">
        <v>12</v>
      </c>
      <c r="C39" s="3" t="s">
        <v>1</v>
      </c>
      <c r="D39" s="3"/>
      <c r="E39" s="3"/>
      <c r="F39" s="3"/>
      <c r="G39" s="3"/>
    </row>
    <row r="40" spans="1:8" ht="13.5" thickBot="1" x14ac:dyDescent="0.25">
      <c r="B40" s="30" t="s">
        <v>0</v>
      </c>
      <c r="C40" s="31">
        <f>C35</f>
        <v>100</v>
      </c>
      <c r="D40" s="32" t="s">
        <v>5</v>
      </c>
      <c r="E40" s="33">
        <f>C36</f>
        <v>0.6</v>
      </c>
      <c r="F40" s="32" t="s">
        <v>6</v>
      </c>
      <c r="G40" s="31">
        <f>C37</f>
        <v>50</v>
      </c>
    </row>
    <row r="41" spans="1:8" ht="13.5" thickBot="1" x14ac:dyDescent="0.25">
      <c r="B41" s="34" t="s">
        <v>0</v>
      </c>
      <c r="C41" s="35">
        <f>C40-(E40*G40)</f>
        <v>70</v>
      </c>
      <c r="D41" s="3"/>
      <c r="E41" s="3"/>
      <c r="F41" s="3"/>
      <c r="G41" s="3"/>
    </row>
    <row r="42" spans="1:8" ht="13.5" thickBot="1" x14ac:dyDescent="0.25"/>
    <row r="43" spans="1:8" ht="13.5" thickBot="1" x14ac:dyDescent="0.25">
      <c r="A43" s="28" t="s">
        <v>13</v>
      </c>
      <c r="C43" s="46">
        <f>C41/C35</f>
        <v>0.7</v>
      </c>
    </row>
    <row r="45" spans="1:8" x14ac:dyDescent="0.2">
      <c r="A45" s="47" t="s">
        <v>16</v>
      </c>
      <c r="B45" s="48"/>
      <c r="C45" s="48"/>
      <c r="D45" s="48"/>
      <c r="E45" s="48"/>
      <c r="F45" s="48"/>
      <c r="G45" s="48"/>
      <c r="H45" s="49"/>
    </row>
    <row r="47" spans="1:8" x14ac:dyDescent="0.2">
      <c r="A47" s="3" t="s">
        <v>4</v>
      </c>
      <c r="B47" s="3"/>
      <c r="C47" s="36">
        <v>166.66666666666669</v>
      </c>
    </row>
    <row r="49" spans="1:8" x14ac:dyDescent="0.2">
      <c r="A49" s="3" t="s">
        <v>12</v>
      </c>
      <c r="B49" s="32" t="s">
        <v>7</v>
      </c>
      <c r="C49" s="3" t="s">
        <v>1</v>
      </c>
      <c r="D49" s="3"/>
      <c r="E49" s="3"/>
      <c r="F49" s="3"/>
      <c r="G49" s="3"/>
    </row>
    <row r="50" spans="1:8" ht="13.5" thickBot="1" x14ac:dyDescent="0.25">
      <c r="B50" s="32" t="s">
        <v>7</v>
      </c>
      <c r="C50" s="31">
        <f>C35</f>
        <v>100</v>
      </c>
      <c r="D50" s="32" t="s">
        <v>5</v>
      </c>
      <c r="E50" s="33">
        <f>C36</f>
        <v>0.6</v>
      </c>
      <c r="F50" s="32" t="s">
        <v>6</v>
      </c>
      <c r="G50" s="31">
        <f>C47</f>
        <v>166.66666666666669</v>
      </c>
    </row>
    <row r="51" spans="1:8" ht="13.5" thickBot="1" x14ac:dyDescent="0.25">
      <c r="B51" s="37" t="s">
        <v>7</v>
      </c>
      <c r="C51" s="35">
        <f>C50-(E50*G50)</f>
        <v>0</v>
      </c>
      <c r="D51" s="3"/>
      <c r="E51" s="3"/>
      <c r="F51" s="3"/>
      <c r="G51" s="3"/>
    </row>
    <row r="52" spans="1:8" ht="13.5" thickBot="1" x14ac:dyDescent="0.25"/>
    <row r="53" spans="1:8" ht="13.5" thickBot="1" x14ac:dyDescent="0.25">
      <c r="A53" s="28" t="s">
        <v>13</v>
      </c>
      <c r="C53" s="46">
        <f>C51/C47</f>
        <v>0</v>
      </c>
    </row>
    <row r="55" spans="1:8" x14ac:dyDescent="0.2">
      <c r="A55" s="465" t="s">
        <v>14</v>
      </c>
      <c r="B55" s="466"/>
      <c r="C55" s="466"/>
      <c r="D55" s="466"/>
      <c r="E55" s="466"/>
      <c r="F55" s="466"/>
      <c r="G55" s="466"/>
      <c r="H55" s="467"/>
    </row>
    <row r="56" spans="1:8" x14ac:dyDescent="0.2">
      <c r="A56" s="468"/>
      <c r="B56" s="469"/>
      <c r="C56" s="469"/>
      <c r="D56" s="469"/>
      <c r="E56" s="469"/>
      <c r="F56" s="469"/>
      <c r="G56" s="469"/>
      <c r="H56" s="470"/>
    </row>
    <row r="57" spans="1:8" x14ac:dyDescent="0.2">
      <c r="A57" s="468"/>
      <c r="B57" s="469"/>
      <c r="C57" s="469"/>
      <c r="D57" s="469"/>
      <c r="E57" s="469"/>
      <c r="F57" s="469"/>
      <c r="G57" s="469"/>
      <c r="H57" s="470"/>
    </row>
    <row r="58" spans="1:8" x14ac:dyDescent="0.2">
      <c r="A58" s="471"/>
      <c r="B58" s="472"/>
      <c r="C58" s="472"/>
      <c r="D58" s="472"/>
      <c r="E58" s="472"/>
      <c r="F58" s="472"/>
      <c r="G58" s="472"/>
      <c r="H58" s="473"/>
    </row>
    <row r="60" spans="1:8" x14ac:dyDescent="0.2">
      <c r="A60" s="27" t="s">
        <v>24</v>
      </c>
    </row>
    <row r="62" spans="1:8" x14ac:dyDescent="0.2">
      <c r="A62" s="3" t="s">
        <v>25</v>
      </c>
      <c r="C62" s="29">
        <v>60</v>
      </c>
    </row>
    <row r="63" spans="1:8" ht="14.25" x14ac:dyDescent="0.25">
      <c r="A63" s="3" t="s">
        <v>43</v>
      </c>
      <c r="C63" s="5">
        <v>0.6</v>
      </c>
    </row>
    <row r="65" spans="1:12" x14ac:dyDescent="0.2">
      <c r="A65" s="38"/>
      <c r="E65" s="39" t="s">
        <v>17</v>
      </c>
      <c r="F65" s="39" t="s">
        <v>18</v>
      </c>
      <c r="G65" s="39" t="s">
        <v>19</v>
      </c>
    </row>
    <row r="66" spans="1:12" x14ac:dyDescent="0.2">
      <c r="A66" s="40" t="s">
        <v>20</v>
      </c>
      <c r="E66" s="41">
        <v>40</v>
      </c>
      <c r="F66" s="41">
        <v>70</v>
      </c>
      <c r="G66" s="41">
        <v>150</v>
      </c>
    </row>
    <row r="67" spans="1:12" x14ac:dyDescent="0.2">
      <c r="A67" s="40"/>
      <c r="E67" s="41"/>
      <c r="F67" s="41"/>
      <c r="G67" s="41"/>
    </row>
    <row r="68" spans="1:12" x14ac:dyDescent="0.2">
      <c r="A68" s="40" t="s">
        <v>21</v>
      </c>
      <c r="E68" s="41">
        <f>$C$62</f>
        <v>60</v>
      </c>
      <c r="F68" s="41">
        <f>$C$62</f>
        <v>60</v>
      </c>
      <c r="G68" s="41">
        <f>$C$62</f>
        <v>60</v>
      </c>
    </row>
    <row r="69" spans="1:12" ht="14.25" x14ac:dyDescent="0.2">
      <c r="A69" s="40" t="s">
        <v>44</v>
      </c>
      <c r="E69" s="42">
        <f>$C$63*E66</f>
        <v>24</v>
      </c>
      <c r="F69" s="42">
        <f>$C$63*F66</f>
        <v>42</v>
      </c>
      <c r="G69" s="42">
        <f>$C$63*G66</f>
        <v>90</v>
      </c>
    </row>
    <row r="70" spans="1:12" x14ac:dyDescent="0.2">
      <c r="A70" s="40"/>
      <c r="E70" s="42"/>
      <c r="F70" s="42"/>
      <c r="G70" s="42"/>
    </row>
    <row r="71" spans="1:12" x14ac:dyDescent="0.2">
      <c r="A71" s="40" t="s">
        <v>22</v>
      </c>
      <c r="E71" s="42">
        <f>E68-E69</f>
        <v>36</v>
      </c>
      <c r="F71" s="42">
        <f>F68-F69</f>
        <v>18</v>
      </c>
      <c r="G71" s="42">
        <f>G68-G69</f>
        <v>-30</v>
      </c>
      <c r="H71" s="23" t="s">
        <v>27</v>
      </c>
    </row>
    <row r="72" spans="1:12" x14ac:dyDescent="0.2">
      <c r="A72" s="40" t="s">
        <v>23</v>
      </c>
      <c r="E72" s="43">
        <f>MAX(E71,0)/E68</f>
        <v>0.6</v>
      </c>
      <c r="F72" s="43">
        <f>MAX(F71,0)/F68</f>
        <v>0.3</v>
      </c>
      <c r="G72" s="43">
        <f>MAX(G71,0)/G68</f>
        <v>0</v>
      </c>
    </row>
    <row r="75" spans="1:12" ht="15" x14ac:dyDescent="0.25">
      <c r="A75" s="463" t="s">
        <v>155</v>
      </c>
      <c r="B75" s="463"/>
      <c r="C75" s="463"/>
      <c r="D75" s="463"/>
      <c r="E75" s="463"/>
      <c r="F75" s="463"/>
      <c r="G75" s="463"/>
      <c r="H75" s="463"/>
      <c r="I75" s="463"/>
    </row>
    <row r="76" spans="1:12" ht="12.75" customHeight="1" thickBot="1" x14ac:dyDescent="0.3">
      <c r="A76" s="50"/>
      <c r="B76" s="50"/>
      <c r="C76" s="50"/>
      <c r="D76" s="50"/>
      <c r="E76" s="50"/>
      <c r="F76" s="50"/>
      <c r="G76" s="50"/>
      <c r="H76" s="50"/>
      <c r="I76" s="50"/>
    </row>
    <row r="77" spans="1:12" x14ac:dyDescent="0.2">
      <c r="A77" s="84" t="s">
        <v>120</v>
      </c>
      <c r="B77" s="102"/>
      <c r="C77" s="102"/>
      <c r="D77" s="102"/>
      <c r="E77" s="102"/>
      <c r="F77" s="102"/>
      <c r="G77" s="103"/>
      <c r="H77" s="103"/>
      <c r="I77" s="104"/>
      <c r="J77" s="104"/>
      <c r="K77" s="104"/>
      <c r="L77" s="87"/>
    </row>
    <row r="78" spans="1:12" ht="13.5" thickBot="1" x14ac:dyDescent="0.25">
      <c r="A78" s="105"/>
      <c r="B78" s="106"/>
      <c r="C78" s="106"/>
      <c r="D78" s="305" t="str">
        <f>IF(AND(D127&lt;=0,F127&lt;=0,H127&lt;=0,J127&lt;=0),"","CALL BOARD MEETING!!! AFN has become negative and special financing is needed!!!")</f>
        <v/>
      </c>
      <c r="E78" s="106"/>
      <c r="F78" s="106"/>
      <c r="G78" s="107"/>
      <c r="H78" s="107"/>
      <c r="I78" s="107"/>
      <c r="J78" s="107"/>
      <c r="K78" s="107"/>
      <c r="L78" s="90"/>
    </row>
    <row r="79" spans="1:12" ht="13.5" thickBot="1" x14ac:dyDescent="0.25">
      <c r="A79" s="194" t="s">
        <v>105</v>
      </c>
      <c r="B79" s="108"/>
      <c r="C79" s="227" t="s">
        <v>109</v>
      </c>
      <c r="D79" s="333" t="s">
        <v>58</v>
      </c>
      <c r="E79" s="334"/>
      <c r="F79" s="334"/>
      <c r="G79" s="334"/>
      <c r="H79" s="120"/>
      <c r="I79" s="120"/>
      <c r="J79" s="120"/>
      <c r="K79" s="121"/>
      <c r="L79" s="90"/>
    </row>
    <row r="80" spans="1:12" x14ac:dyDescent="0.2">
      <c r="A80" s="88"/>
      <c r="B80" s="52"/>
      <c r="C80" s="109">
        <v>40543</v>
      </c>
      <c r="D80" s="393">
        <f>YEAR(C80)+1</f>
        <v>2011</v>
      </c>
      <c r="E80" s="394"/>
      <c r="F80" s="385">
        <f>D80+1</f>
        <v>2012</v>
      </c>
      <c r="G80" s="395"/>
      <c r="H80" s="425">
        <f>F80+1</f>
        <v>2013</v>
      </c>
      <c r="I80" s="396"/>
      <c r="J80" s="385">
        <f>H80+1</f>
        <v>2014</v>
      </c>
      <c r="K80" s="386"/>
      <c r="L80" s="90"/>
    </row>
    <row r="81" spans="1:14" x14ac:dyDescent="0.2">
      <c r="A81" s="88" t="s">
        <v>172</v>
      </c>
      <c r="B81" s="52"/>
      <c r="C81" s="110"/>
      <c r="D81" s="423">
        <v>0.05</v>
      </c>
      <c r="E81" s="424"/>
      <c r="F81" s="418">
        <f t="shared" ref="F81:F90" si="0">D81</f>
        <v>0.05</v>
      </c>
      <c r="G81" s="420"/>
      <c r="H81" s="421">
        <f t="shared" ref="H81:H90" si="1">F81</f>
        <v>0.05</v>
      </c>
      <c r="I81" s="422"/>
      <c r="J81" s="418">
        <f t="shared" ref="J81:J90" si="2">H81</f>
        <v>0.05</v>
      </c>
      <c r="K81" s="419"/>
      <c r="L81" s="90"/>
    </row>
    <row r="82" spans="1:14" x14ac:dyDescent="0.2">
      <c r="A82" s="88" t="s">
        <v>65</v>
      </c>
      <c r="B82" s="52"/>
      <c r="C82" s="110">
        <f>C94/C93</f>
        <v>0.7</v>
      </c>
      <c r="D82" s="423">
        <v>0.7</v>
      </c>
      <c r="E82" s="424"/>
      <c r="F82" s="418">
        <f t="shared" si="0"/>
        <v>0.7</v>
      </c>
      <c r="G82" s="420"/>
      <c r="H82" s="421">
        <f t="shared" si="1"/>
        <v>0.7</v>
      </c>
      <c r="I82" s="422"/>
      <c r="J82" s="418">
        <f t="shared" si="2"/>
        <v>0.7</v>
      </c>
      <c r="K82" s="419"/>
      <c r="L82" s="90"/>
      <c r="N82" s="304"/>
    </row>
    <row r="83" spans="1:14" x14ac:dyDescent="0.2">
      <c r="A83" s="88" t="s">
        <v>64</v>
      </c>
      <c r="B83" s="52"/>
      <c r="C83" s="110">
        <f>C95/C109</f>
        <v>0.1</v>
      </c>
      <c r="D83" s="423">
        <f t="shared" ref="D83:D90" si="3">C83</f>
        <v>0.1</v>
      </c>
      <c r="E83" s="424"/>
      <c r="F83" s="418">
        <f t="shared" si="0"/>
        <v>0.1</v>
      </c>
      <c r="G83" s="420"/>
      <c r="H83" s="421">
        <f t="shared" si="1"/>
        <v>0.1</v>
      </c>
      <c r="I83" s="422"/>
      <c r="J83" s="418">
        <f t="shared" si="2"/>
        <v>0.1</v>
      </c>
      <c r="K83" s="419"/>
      <c r="L83" s="90"/>
    </row>
    <row r="84" spans="1:14" x14ac:dyDescent="0.2">
      <c r="A84" s="88" t="s">
        <v>63</v>
      </c>
      <c r="B84" s="52"/>
      <c r="C84" s="110">
        <f>C104/C$93</f>
        <v>0.01</v>
      </c>
      <c r="D84" s="423">
        <f t="shared" si="3"/>
        <v>0.01</v>
      </c>
      <c r="E84" s="424"/>
      <c r="F84" s="418">
        <f t="shared" si="0"/>
        <v>0.01</v>
      </c>
      <c r="G84" s="420"/>
      <c r="H84" s="421">
        <f t="shared" si="1"/>
        <v>0.01</v>
      </c>
      <c r="I84" s="422"/>
      <c r="J84" s="418">
        <f t="shared" si="2"/>
        <v>0.01</v>
      </c>
      <c r="K84" s="419"/>
      <c r="L84" s="90"/>
    </row>
    <row r="85" spans="1:14" x14ac:dyDescent="0.2">
      <c r="A85" s="88" t="s">
        <v>173</v>
      </c>
      <c r="B85" s="52"/>
      <c r="C85" s="110">
        <f>C106/C93</f>
        <v>0.15</v>
      </c>
      <c r="D85" s="423">
        <f t="shared" si="3"/>
        <v>0.15</v>
      </c>
      <c r="E85" s="424"/>
      <c r="F85" s="418">
        <f t="shared" si="0"/>
        <v>0.15</v>
      </c>
      <c r="G85" s="420"/>
      <c r="H85" s="421">
        <f t="shared" si="1"/>
        <v>0.15</v>
      </c>
      <c r="I85" s="422"/>
      <c r="J85" s="418">
        <f t="shared" si="2"/>
        <v>0.15</v>
      </c>
      <c r="K85" s="419"/>
      <c r="L85" s="90"/>
    </row>
    <row r="86" spans="1:14" x14ac:dyDescent="0.2">
      <c r="A86" s="88" t="s">
        <v>62</v>
      </c>
      <c r="B86" s="52"/>
      <c r="C86" s="110">
        <v>0.12</v>
      </c>
      <c r="D86" s="423">
        <f t="shared" si="3"/>
        <v>0.12</v>
      </c>
      <c r="E86" s="424"/>
      <c r="F86" s="418">
        <f t="shared" si="0"/>
        <v>0.12</v>
      </c>
      <c r="G86" s="420"/>
      <c r="H86" s="421">
        <f t="shared" si="1"/>
        <v>0.12</v>
      </c>
      <c r="I86" s="422"/>
      <c r="J86" s="418">
        <f t="shared" si="2"/>
        <v>0.12</v>
      </c>
      <c r="K86" s="419"/>
      <c r="L86" s="90"/>
    </row>
    <row r="87" spans="1:14" x14ac:dyDescent="0.2">
      <c r="A87" s="88" t="s">
        <v>61</v>
      </c>
      <c r="B87" s="52"/>
      <c r="C87" s="110">
        <f>C109/C93</f>
        <v>0.85</v>
      </c>
      <c r="D87" s="423">
        <f t="shared" si="3"/>
        <v>0.85</v>
      </c>
      <c r="E87" s="424"/>
      <c r="F87" s="418">
        <f t="shared" si="0"/>
        <v>0.85</v>
      </c>
      <c r="G87" s="420"/>
      <c r="H87" s="421">
        <f t="shared" si="1"/>
        <v>0.85</v>
      </c>
      <c r="I87" s="422"/>
      <c r="J87" s="418">
        <f t="shared" si="2"/>
        <v>0.85</v>
      </c>
      <c r="K87" s="419"/>
      <c r="L87" s="90"/>
    </row>
    <row r="88" spans="1:14" x14ac:dyDescent="0.2">
      <c r="A88" s="88" t="s">
        <v>174</v>
      </c>
      <c r="B88" s="52"/>
      <c r="C88" s="110">
        <f>C112/C$93</f>
        <v>0.08</v>
      </c>
      <c r="D88" s="423">
        <f t="shared" si="3"/>
        <v>0.08</v>
      </c>
      <c r="E88" s="424"/>
      <c r="F88" s="418">
        <f t="shared" si="0"/>
        <v>0.08</v>
      </c>
      <c r="G88" s="420"/>
      <c r="H88" s="421">
        <f t="shared" si="1"/>
        <v>0.08</v>
      </c>
      <c r="I88" s="422"/>
      <c r="J88" s="418">
        <f t="shared" si="2"/>
        <v>0.08</v>
      </c>
      <c r="K88" s="419"/>
      <c r="L88" s="90"/>
    </row>
    <row r="89" spans="1:14" x14ac:dyDescent="0.2">
      <c r="A89" s="88" t="s">
        <v>60</v>
      </c>
      <c r="B89" s="52"/>
      <c r="C89" s="110">
        <f>C113/C$93</f>
        <v>0.02</v>
      </c>
      <c r="D89" s="423">
        <f t="shared" si="3"/>
        <v>0.02</v>
      </c>
      <c r="E89" s="424"/>
      <c r="F89" s="418">
        <f t="shared" si="0"/>
        <v>0.02</v>
      </c>
      <c r="G89" s="420"/>
      <c r="H89" s="421">
        <f t="shared" si="1"/>
        <v>0.02</v>
      </c>
      <c r="I89" s="422"/>
      <c r="J89" s="418">
        <f t="shared" si="2"/>
        <v>0.02</v>
      </c>
      <c r="K89" s="419"/>
      <c r="L89" s="90"/>
    </row>
    <row r="90" spans="1:14" ht="13.5" thickBot="1" x14ac:dyDescent="0.25">
      <c r="A90" s="88" t="s">
        <v>59</v>
      </c>
      <c r="B90" s="52"/>
      <c r="C90" s="110">
        <f>C99/C98</f>
        <v>0.4</v>
      </c>
      <c r="D90" s="477">
        <f t="shared" si="3"/>
        <v>0.4</v>
      </c>
      <c r="E90" s="478"/>
      <c r="F90" s="426">
        <f t="shared" si="0"/>
        <v>0.4</v>
      </c>
      <c r="G90" s="441"/>
      <c r="H90" s="439">
        <f t="shared" si="1"/>
        <v>0.4</v>
      </c>
      <c r="I90" s="440"/>
      <c r="J90" s="426">
        <f t="shared" si="2"/>
        <v>0.4</v>
      </c>
      <c r="K90" s="427"/>
      <c r="L90" s="90"/>
    </row>
    <row r="91" spans="1:14" ht="13.5" thickBot="1" x14ac:dyDescent="0.25">
      <c r="A91" s="88"/>
      <c r="B91" s="52"/>
      <c r="C91" s="112"/>
      <c r="D91" s="306" t="str">
        <f>IF(AND(D127&lt;=0,F127&lt;=0,H127&lt;=0,J127&lt;=0),"","CALL BOARD MEETING!!! FCF has become negative and special financing is needed!!!")</f>
        <v/>
      </c>
      <c r="E91" s="111"/>
      <c r="F91" s="111"/>
      <c r="G91" s="111"/>
      <c r="H91" s="111"/>
      <c r="I91" s="111"/>
      <c r="J91" s="111"/>
      <c r="K91" s="107"/>
      <c r="L91" s="90"/>
    </row>
    <row r="92" spans="1:14" ht="14.25" x14ac:dyDescent="0.2">
      <c r="A92" s="194" t="s">
        <v>110</v>
      </c>
      <c r="B92" s="193"/>
      <c r="C92" s="59">
        <f>C$80</f>
        <v>40543</v>
      </c>
      <c r="D92" s="453">
        <f>DATE(YEAR(C92)+1,12,31)</f>
        <v>40908</v>
      </c>
      <c r="E92" s="454"/>
      <c r="F92" s="429">
        <f>DATE(YEAR(D92)+1,12,31)</f>
        <v>41274</v>
      </c>
      <c r="G92" s="442"/>
      <c r="H92" s="474">
        <f>DATE(YEAR(F92)+1,12,31)</f>
        <v>41639</v>
      </c>
      <c r="I92" s="454"/>
      <c r="J92" s="429">
        <f>DATE(YEAR(H92)+1,12,31)</f>
        <v>42004</v>
      </c>
      <c r="K92" s="430"/>
      <c r="L92" s="90"/>
    </row>
    <row r="93" spans="1:14" x14ac:dyDescent="0.2">
      <c r="A93" s="88" t="s">
        <v>57</v>
      </c>
      <c r="B93" s="52"/>
      <c r="C93" s="65">
        <v>8000</v>
      </c>
      <c r="D93" s="460">
        <f>C93*(1+D81)</f>
        <v>8400</v>
      </c>
      <c r="E93" s="436"/>
      <c r="F93" s="431">
        <f>D93*(1+F81)</f>
        <v>8820</v>
      </c>
      <c r="G93" s="443"/>
      <c r="H93" s="435">
        <f>F93*(1+H81)</f>
        <v>9261</v>
      </c>
      <c r="I93" s="436"/>
      <c r="J93" s="431">
        <f>H93*(1+J81)</f>
        <v>9724.0500000000011</v>
      </c>
      <c r="K93" s="432"/>
      <c r="L93" s="90"/>
    </row>
    <row r="94" spans="1:14" x14ac:dyDescent="0.2">
      <c r="A94" s="88" t="s">
        <v>56</v>
      </c>
      <c r="B94" s="52"/>
      <c r="C94" s="67">
        <v>5600</v>
      </c>
      <c r="D94" s="495">
        <f>D82*D93</f>
        <v>5880</v>
      </c>
      <c r="E94" s="438"/>
      <c r="F94" s="433">
        <f>F82*F93</f>
        <v>6174</v>
      </c>
      <c r="G94" s="444"/>
      <c r="H94" s="437">
        <f>H82*H93</f>
        <v>6482.7</v>
      </c>
      <c r="I94" s="438"/>
      <c r="J94" s="433">
        <f>J82*J93</f>
        <v>6806.835</v>
      </c>
      <c r="K94" s="434"/>
      <c r="L94" s="90"/>
    </row>
    <row r="95" spans="1:14" ht="15" x14ac:dyDescent="0.35">
      <c r="A95" s="88" t="s">
        <v>55</v>
      </c>
      <c r="B95" s="52"/>
      <c r="C95" s="113">
        <v>680</v>
      </c>
      <c r="D95" s="496">
        <f>D83*D109</f>
        <v>714</v>
      </c>
      <c r="E95" s="476"/>
      <c r="F95" s="445">
        <f>F83*F109</f>
        <v>749.7</v>
      </c>
      <c r="G95" s="446"/>
      <c r="H95" s="475">
        <f>H83*H109</f>
        <v>787.18499999999995</v>
      </c>
      <c r="I95" s="476"/>
      <c r="J95" s="445">
        <f>J83*J109</f>
        <v>826.54425000000015</v>
      </c>
      <c r="K95" s="494"/>
      <c r="L95" s="90"/>
    </row>
    <row r="96" spans="1:14" x14ac:dyDescent="0.2">
      <c r="A96" s="88" t="s">
        <v>54</v>
      </c>
      <c r="B96" s="52"/>
      <c r="C96" s="65">
        <v>1720</v>
      </c>
      <c r="D96" s="460">
        <f t="shared" ref="D96:J96" si="4">D93-D94-D95</f>
        <v>1806</v>
      </c>
      <c r="E96" s="436"/>
      <c r="F96" s="431">
        <f t="shared" si="4"/>
        <v>1896.3</v>
      </c>
      <c r="G96" s="443"/>
      <c r="H96" s="435">
        <f t="shared" si="4"/>
        <v>1991.1150000000002</v>
      </c>
      <c r="I96" s="436"/>
      <c r="J96" s="431">
        <f t="shared" si="4"/>
        <v>2090.6707500000011</v>
      </c>
      <c r="K96" s="432"/>
      <c r="L96" s="90"/>
    </row>
    <row r="97" spans="1:16" ht="14.25" x14ac:dyDescent="0.2">
      <c r="A97" s="88" t="s">
        <v>111</v>
      </c>
      <c r="B97" s="52"/>
      <c r="C97" s="69">
        <v>0</v>
      </c>
      <c r="D97" s="459">
        <v>0</v>
      </c>
      <c r="E97" s="448"/>
      <c r="F97" s="374">
        <v>0</v>
      </c>
      <c r="G97" s="455"/>
      <c r="H97" s="447">
        <v>0</v>
      </c>
      <c r="I97" s="448"/>
      <c r="J97" s="374">
        <v>0</v>
      </c>
      <c r="K97" s="375"/>
      <c r="L97" s="90"/>
    </row>
    <row r="98" spans="1:16" x14ac:dyDescent="0.2">
      <c r="A98" s="88" t="s">
        <v>70</v>
      </c>
      <c r="B98" s="52"/>
      <c r="C98" s="65">
        <v>1720</v>
      </c>
      <c r="D98" s="460">
        <f t="shared" ref="D98:J98" si="5">D96-D97</f>
        <v>1806</v>
      </c>
      <c r="E98" s="436"/>
      <c r="F98" s="431">
        <f t="shared" si="5"/>
        <v>1896.3</v>
      </c>
      <c r="G98" s="443"/>
      <c r="H98" s="435">
        <f t="shared" si="5"/>
        <v>1991.1150000000002</v>
      </c>
      <c r="I98" s="436"/>
      <c r="J98" s="431">
        <f t="shared" si="5"/>
        <v>2090.6707500000011</v>
      </c>
      <c r="K98" s="432"/>
      <c r="L98" s="90"/>
    </row>
    <row r="99" spans="1:16" x14ac:dyDescent="0.2">
      <c r="A99" s="88" t="s">
        <v>71</v>
      </c>
      <c r="B99" s="52"/>
      <c r="C99" s="69">
        <v>688</v>
      </c>
      <c r="D99" s="459">
        <f>D90*D98</f>
        <v>722.40000000000009</v>
      </c>
      <c r="E99" s="448"/>
      <c r="F99" s="374">
        <f>F90*F98</f>
        <v>758.52</v>
      </c>
      <c r="G99" s="455"/>
      <c r="H99" s="447">
        <f>H90*H98</f>
        <v>796.44600000000014</v>
      </c>
      <c r="I99" s="448"/>
      <c r="J99" s="374">
        <f>J90*J98</f>
        <v>836.26830000000052</v>
      </c>
      <c r="K99" s="375"/>
      <c r="L99" s="90"/>
    </row>
    <row r="100" spans="1:16" ht="19.5" customHeight="1" thickBot="1" x14ac:dyDescent="0.25">
      <c r="A100" s="114" t="s">
        <v>21</v>
      </c>
      <c r="B100" s="115"/>
      <c r="C100" s="116">
        <v>1032</v>
      </c>
      <c r="D100" s="461">
        <f t="shared" ref="D100:J100" si="6">D98-D99</f>
        <v>1083.5999999999999</v>
      </c>
      <c r="E100" s="450"/>
      <c r="F100" s="376">
        <f t="shared" si="6"/>
        <v>1137.78</v>
      </c>
      <c r="G100" s="462"/>
      <c r="H100" s="449">
        <f t="shared" si="6"/>
        <v>1194.6690000000001</v>
      </c>
      <c r="I100" s="450"/>
      <c r="J100" s="376">
        <f t="shared" si="6"/>
        <v>1254.4024500000005</v>
      </c>
      <c r="K100" s="377"/>
      <c r="L100" s="90"/>
    </row>
    <row r="101" spans="1:16" ht="13.5" thickBot="1" x14ac:dyDescent="0.25">
      <c r="A101" s="194"/>
      <c r="B101" s="52"/>
      <c r="C101" s="89"/>
      <c r="D101" s="307" t="str">
        <f>IF(AND(D127&lt;=0,F127&lt;=0,H127&lt;=0,J127&lt;=0),"","CALL BOARD MEETING!!! AFN has become negative and special financing is needed!!!")</f>
        <v/>
      </c>
      <c r="E101" s="89"/>
      <c r="F101" s="89"/>
      <c r="G101" s="89"/>
      <c r="H101" s="89"/>
      <c r="I101" s="89"/>
      <c r="J101" s="89"/>
      <c r="K101" s="89"/>
      <c r="L101" s="90"/>
      <c r="N101" s="83"/>
      <c r="O101" s="83"/>
      <c r="P101" s="83"/>
    </row>
    <row r="102" spans="1:16" x14ac:dyDescent="0.2">
      <c r="A102" s="194" t="s">
        <v>106</v>
      </c>
      <c r="B102" s="193"/>
      <c r="C102" s="94"/>
      <c r="D102" s="393">
        <f>YEAR(C103)+1</f>
        <v>2011</v>
      </c>
      <c r="E102" s="394"/>
      <c r="F102" s="385">
        <f>D102+1</f>
        <v>2012</v>
      </c>
      <c r="G102" s="395"/>
      <c r="H102" s="396">
        <f>F102+1</f>
        <v>2013</v>
      </c>
      <c r="I102" s="394"/>
      <c r="J102" s="385">
        <f>H102+1</f>
        <v>2014</v>
      </c>
      <c r="K102" s="386"/>
      <c r="L102" s="90"/>
      <c r="N102" s="83"/>
      <c r="O102" s="83"/>
      <c r="P102" s="83"/>
    </row>
    <row r="103" spans="1:16" x14ac:dyDescent="0.2">
      <c r="A103" s="194" t="s">
        <v>107</v>
      </c>
      <c r="B103" s="193"/>
      <c r="C103" s="59">
        <f>C$80</f>
        <v>40543</v>
      </c>
      <c r="D103" s="53">
        <f>DATE(YEAR(C103)+1,12,30)</f>
        <v>40907</v>
      </c>
      <c r="E103" s="71">
        <f>D103+1</f>
        <v>40908</v>
      </c>
      <c r="F103" s="123">
        <f>DATE(YEAR(E103)+1,12,30)</f>
        <v>41273</v>
      </c>
      <c r="G103" s="124">
        <f>F103+1</f>
        <v>41274</v>
      </c>
      <c r="H103" s="63">
        <f>DATE(YEAR(G103)+1,12,30)</f>
        <v>41638</v>
      </c>
      <c r="I103" s="71">
        <f>H103+1</f>
        <v>41639</v>
      </c>
      <c r="J103" s="123">
        <f>DATE(YEAR(I103)+1,12,30)</f>
        <v>42003</v>
      </c>
      <c r="K103" s="175">
        <f>J103+1</f>
        <v>42004</v>
      </c>
      <c r="L103" s="90"/>
      <c r="N103" s="83"/>
      <c r="O103" s="83"/>
      <c r="P103" s="83"/>
    </row>
    <row r="104" spans="1:16" x14ac:dyDescent="0.2">
      <c r="A104" s="88" t="s">
        <v>53</v>
      </c>
      <c r="B104" s="52"/>
      <c r="C104" s="65">
        <v>80</v>
      </c>
      <c r="D104" s="54">
        <f>D84*D93</f>
        <v>84</v>
      </c>
      <c r="E104" s="73">
        <f>D104</f>
        <v>84</v>
      </c>
      <c r="F104" s="125">
        <f>F84*F93</f>
        <v>88.2</v>
      </c>
      <c r="G104" s="126">
        <f>F104</f>
        <v>88.2</v>
      </c>
      <c r="H104" s="64">
        <f>H84*H93</f>
        <v>92.61</v>
      </c>
      <c r="I104" s="73">
        <f>H104</f>
        <v>92.61</v>
      </c>
      <c r="J104" s="125">
        <f>J84*J93</f>
        <v>97.240500000000011</v>
      </c>
      <c r="K104" s="176">
        <f>J104</f>
        <v>97.240500000000011</v>
      </c>
      <c r="L104" s="90"/>
    </row>
    <row r="105" spans="1:16" ht="14.25" x14ac:dyDescent="0.2">
      <c r="A105" s="88" t="s">
        <v>117</v>
      </c>
      <c r="B105" s="52"/>
      <c r="C105" s="67">
        <v>0</v>
      </c>
      <c r="D105" s="55">
        <f>IF(D127&lt;=0,-D127,0)</f>
        <v>671.60000000000036</v>
      </c>
      <c r="E105" s="75">
        <f t="shared" ref="E105:K105" si="7">IF(E127&lt;=0,-E127,0)</f>
        <v>0</v>
      </c>
      <c r="F105" s="127">
        <f t="shared" si="7"/>
        <v>705.18000000000029</v>
      </c>
      <c r="G105" s="128">
        <f t="shared" si="7"/>
        <v>0</v>
      </c>
      <c r="H105" s="66">
        <f t="shared" si="7"/>
        <v>740.43899999999849</v>
      </c>
      <c r="I105" s="75">
        <f t="shared" si="7"/>
        <v>0</v>
      </c>
      <c r="J105" s="127">
        <f t="shared" si="7"/>
        <v>777.46095000000059</v>
      </c>
      <c r="K105" s="177">
        <f t="shared" si="7"/>
        <v>0</v>
      </c>
      <c r="L105" s="90"/>
    </row>
    <row r="106" spans="1:16" x14ac:dyDescent="0.2">
      <c r="A106" s="88" t="s">
        <v>52</v>
      </c>
      <c r="B106" s="52"/>
      <c r="C106" s="67">
        <v>1200</v>
      </c>
      <c r="D106" s="55">
        <f>D85*D93</f>
        <v>1260</v>
      </c>
      <c r="E106" s="75">
        <f t="shared" ref="E106:G109" si="8">D106</f>
        <v>1260</v>
      </c>
      <c r="F106" s="127">
        <f>F85*F93</f>
        <v>1323</v>
      </c>
      <c r="G106" s="128">
        <f t="shared" si="8"/>
        <v>1323</v>
      </c>
      <c r="H106" s="66">
        <f>H85*H93</f>
        <v>1389.1499999999999</v>
      </c>
      <c r="I106" s="75">
        <f>H106</f>
        <v>1389.1499999999999</v>
      </c>
      <c r="J106" s="127">
        <f>J85*J93</f>
        <v>1458.6075000000001</v>
      </c>
      <c r="K106" s="177">
        <f>J106</f>
        <v>1458.6075000000001</v>
      </c>
      <c r="L106" s="90"/>
    </row>
    <row r="107" spans="1:16" x14ac:dyDescent="0.2">
      <c r="A107" s="88" t="s">
        <v>51</v>
      </c>
      <c r="B107" s="52"/>
      <c r="C107" s="69">
        <v>960</v>
      </c>
      <c r="D107" s="56">
        <f>D86*D93</f>
        <v>1008</v>
      </c>
      <c r="E107" s="77">
        <f t="shared" si="8"/>
        <v>1008</v>
      </c>
      <c r="F107" s="129">
        <f>F86*F93</f>
        <v>1058.3999999999999</v>
      </c>
      <c r="G107" s="130">
        <f t="shared" si="8"/>
        <v>1058.3999999999999</v>
      </c>
      <c r="H107" s="68">
        <f>H86*H93</f>
        <v>1111.32</v>
      </c>
      <c r="I107" s="77">
        <f>H107</f>
        <v>1111.32</v>
      </c>
      <c r="J107" s="129">
        <f>J86*J93</f>
        <v>1166.8860000000002</v>
      </c>
      <c r="K107" s="178">
        <f>J107</f>
        <v>1166.8860000000002</v>
      </c>
      <c r="L107" s="90"/>
    </row>
    <row r="108" spans="1:16" x14ac:dyDescent="0.2">
      <c r="A108" s="387" t="s">
        <v>68</v>
      </c>
      <c r="B108" s="388"/>
      <c r="C108" s="65">
        <v>2240</v>
      </c>
      <c r="D108" s="54">
        <f t="shared" ref="D108:K108" si="9">SUM(D104:D107)</f>
        <v>3023.6000000000004</v>
      </c>
      <c r="E108" s="73">
        <f t="shared" si="9"/>
        <v>2352</v>
      </c>
      <c r="F108" s="125">
        <f t="shared" si="9"/>
        <v>3174.7799999999997</v>
      </c>
      <c r="G108" s="126">
        <f t="shared" si="9"/>
        <v>2469.6</v>
      </c>
      <c r="H108" s="64">
        <f t="shared" si="9"/>
        <v>3333.5189999999984</v>
      </c>
      <c r="I108" s="73">
        <f t="shared" si="9"/>
        <v>2593.08</v>
      </c>
      <c r="J108" s="125">
        <f t="shared" si="9"/>
        <v>3500.194950000001</v>
      </c>
      <c r="K108" s="176">
        <f t="shared" si="9"/>
        <v>2722.7340000000004</v>
      </c>
      <c r="L108" s="90"/>
    </row>
    <row r="109" spans="1:16" x14ac:dyDescent="0.2">
      <c r="A109" s="88" t="s">
        <v>50</v>
      </c>
      <c r="B109" s="52"/>
      <c r="C109" s="69">
        <v>6800</v>
      </c>
      <c r="D109" s="56">
        <f>D87*D93</f>
        <v>7140</v>
      </c>
      <c r="E109" s="77">
        <f t="shared" si="8"/>
        <v>7140</v>
      </c>
      <c r="F109" s="129">
        <f>F87*F93</f>
        <v>7497</v>
      </c>
      <c r="G109" s="130">
        <f t="shared" si="8"/>
        <v>7497</v>
      </c>
      <c r="H109" s="68">
        <f>H87*H93</f>
        <v>7871.8499999999995</v>
      </c>
      <c r="I109" s="77">
        <f>H109</f>
        <v>7871.8499999999995</v>
      </c>
      <c r="J109" s="129">
        <f>J87*J93</f>
        <v>8265.442500000001</v>
      </c>
      <c r="K109" s="178">
        <f>J109</f>
        <v>8265.442500000001</v>
      </c>
      <c r="L109" s="90"/>
    </row>
    <row r="110" spans="1:16" ht="15" x14ac:dyDescent="0.2">
      <c r="A110" s="389" t="s">
        <v>69</v>
      </c>
      <c r="B110" s="390"/>
      <c r="C110" s="116">
        <v>9040</v>
      </c>
      <c r="D110" s="229">
        <f t="shared" ref="D110:K110" si="10">SUM(D108:D109)</f>
        <v>10163.6</v>
      </c>
      <c r="E110" s="230">
        <f t="shared" si="10"/>
        <v>9492</v>
      </c>
      <c r="F110" s="231">
        <f t="shared" si="10"/>
        <v>10671.779999999999</v>
      </c>
      <c r="G110" s="232">
        <f t="shared" si="10"/>
        <v>9966.6</v>
      </c>
      <c r="H110" s="228">
        <f t="shared" si="10"/>
        <v>11205.368999999999</v>
      </c>
      <c r="I110" s="230">
        <f t="shared" si="10"/>
        <v>10464.93</v>
      </c>
      <c r="J110" s="231">
        <f t="shared" si="10"/>
        <v>11765.637450000002</v>
      </c>
      <c r="K110" s="233">
        <f t="shared" si="10"/>
        <v>10988.176500000001</v>
      </c>
      <c r="L110" s="90"/>
    </row>
    <row r="111" spans="1:16" x14ac:dyDescent="0.2">
      <c r="A111" s="212" t="s">
        <v>79</v>
      </c>
      <c r="B111" s="95"/>
      <c r="C111" s="59"/>
      <c r="D111" s="53"/>
      <c r="E111" s="245"/>
      <c r="F111" s="237"/>
      <c r="G111" s="246"/>
      <c r="H111" s="63"/>
      <c r="I111" s="245"/>
      <c r="J111" s="237"/>
      <c r="K111" s="175"/>
      <c r="L111" s="90"/>
    </row>
    <row r="112" spans="1:16" x14ac:dyDescent="0.2">
      <c r="A112" s="88" t="s">
        <v>165</v>
      </c>
      <c r="B112" s="52"/>
      <c r="C112" s="65">
        <v>640</v>
      </c>
      <c r="D112" s="54">
        <f>D88*D93</f>
        <v>672</v>
      </c>
      <c r="E112" s="73">
        <f>D112</f>
        <v>672</v>
      </c>
      <c r="F112" s="125">
        <f>F88*F93</f>
        <v>705.6</v>
      </c>
      <c r="G112" s="126">
        <f>F112</f>
        <v>705.6</v>
      </c>
      <c r="H112" s="72">
        <f>H88*H93</f>
        <v>740.88</v>
      </c>
      <c r="I112" s="73">
        <f t="shared" ref="I112:I119" si="11">H112</f>
        <v>740.88</v>
      </c>
      <c r="J112" s="125">
        <f>J88*J93</f>
        <v>777.92400000000009</v>
      </c>
      <c r="K112" s="176">
        <f t="shared" ref="K112:K119" si="12">J112</f>
        <v>777.92400000000009</v>
      </c>
      <c r="L112" s="90"/>
    </row>
    <row r="113" spans="1:12" x14ac:dyDescent="0.2">
      <c r="A113" s="88" t="s">
        <v>49</v>
      </c>
      <c r="B113" s="52"/>
      <c r="C113" s="67">
        <v>160</v>
      </c>
      <c r="D113" s="55">
        <f>D89*D93</f>
        <v>168</v>
      </c>
      <c r="E113" s="75">
        <f>D113</f>
        <v>168</v>
      </c>
      <c r="F113" s="127">
        <f>F89*F93</f>
        <v>176.4</v>
      </c>
      <c r="G113" s="128">
        <f>F113</f>
        <v>176.4</v>
      </c>
      <c r="H113" s="74">
        <f>H89*H93</f>
        <v>185.22</v>
      </c>
      <c r="I113" s="75">
        <f t="shared" si="11"/>
        <v>185.22</v>
      </c>
      <c r="J113" s="127">
        <f>J89*J93</f>
        <v>194.48100000000002</v>
      </c>
      <c r="K113" s="177">
        <f t="shared" si="12"/>
        <v>194.48100000000002</v>
      </c>
      <c r="L113" s="90"/>
    </row>
    <row r="114" spans="1:12" x14ac:dyDescent="0.2">
      <c r="A114" s="88" t="s">
        <v>72</v>
      </c>
      <c r="B114" s="52"/>
      <c r="C114" s="69">
        <v>0</v>
      </c>
      <c r="D114" s="56">
        <f>IF(D127&gt;0,D127,0)</f>
        <v>0</v>
      </c>
      <c r="E114" s="77">
        <f>D114</f>
        <v>0</v>
      </c>
      <c r="F114" s="129">
        <f>IF(F127&gt;0,F127,0)</f>
        <v>0</v>
      </c>
      <c r="G114" s="130">
        <f>F114</f>
        <v>0</v>
      </c>
      <c r="H114" s="76">
        <f>IF(H127&gt;0,H127,0)</f>
        <v>0</v>
      </c>
      <c r="I114" s="77">
        <f>H114</f>
        <v>0</v>
      </c>
      <c r="J114" s="129">
        <f>IF(J127&gt;0,J127,0)</f>
        <v>0</v>
      </c>
      <c r="K114" s="178">
        <f>J114</f>
        <v>0</v>
      </c>
      <c r="L114" s="90"/>
    </row>
    <row r="115" spans="1:12" x14ac:dyDescent="0.2">
      <c r="A115" s="387" t="s">
        <v>73</v>
      </c>
      <c r="B115" s="388"/>
      <c r="C115" s="65">
        <v>800</v>
      </c>
      <c r="D115" s="54">
        <f t="shared" ref="D115:K115" si="13">SUM(D112:D114)</f>
        <v>840</v>
      </c>
      <c r="E115" s="73">
        <f t="shared" si="13"/>
        <v>840</v>
      </c>
      <c r="F115" s="125">
        <f t="shared" si="13"/>
        <v>882</v>
      </c>
      <c r="G115" s="126">
        <f t="shared" si="13"/>
        <v>882</v>
      </c>
      <c r="H115" s="72">
        <f t="shared" si="13"/>
        <v>926.1</v>
      </c>
      <c r="I115" s="73">
        <f t="shared" si="13"/>
        <v>926.1</v>
      </c>
      <c r="J115" s="125">
        <f t="shared" si="13"/>
        <v>972.40500000000009</v>
      </c>
      <c r="K115" s="176">
        <f t="shared" si="13"/>
        <v>972.40500000000009</v>
      </c>
      <c r="L115" s="90"/>
    </row>
    <row r="116" spans="1:12" x14ac:dyDescent="0.2">
      <c r="A116" s="88" t="s">
        <v>74</v>
      </c>
      <c r="B116" s="52"/>
      <c r="C116" s="69">
        <v>0</v>
      </c>
      <c r="D116" s="56">
        <v>0</v>
      </c>
      <c r="E116" s="77">
        <f>D116</f>
        <v>0</v>
      </c>
      <c r="F116" s="129">
        <v>0</v>
      </c>
      <c r="G116" s="130">
        <f>F116</f>
        <v>0</v>
      </c>
      <c r="H116" s="76">
        <v>0</v>
      </c>
      <c r="I116" s="77">
        <f t="shared" si="11"/>
        <v>0</v>
      </c>
      <c r="J116" s="129">
        <v>0</v>
      </c>
      <c r="K116" s="178">
        <f t="shared" si="12"/>
        <v>0</v>
      </c>
      <c r="L116" s="90"/>
    </row>
    <row r="117" spans="1:12" x14ac:dyDescent="0.2">
      <c r="A117" s="387" t="s">
        <v>75</v>
      </c>
      <c r="B117" s="388"/>
      <c r="C117" s="65">
        <v>800</v>
      </c>
      <c r="D117" s="54">
        <f t="shared" ref="D117:K117" si="14">D115+D116</f>
        <v>840</v>
      </c>
      <c r="E117" s="73">
        <f t="shared" si="14"/>
        <v>840</v>
      </c>
      <c r="F117" s="125">
        <f t="shared" si="14"/>
        <v>882</v>
      </c>
      <c r="G117" s="126">
        <f t="shared" si="14"/>
        <v>882</v>
      </c>
      <c r="H117" s="72">
        <f t="shared" si="14"/>
        <v>926.1</v>
      </c>
      <c r="I117" s="73">
        <f t="shared" si="14"/>
        <v>926.1</v>
      </c>
      <c r="J117" s="125">
        <f t="shared" si="14"/>
        <v>972.40500000000009</v>
      </c>
      <c r="K117" s="176">
        <f t="shared" si="14"/>
        <v>972.40500000000009</v>
      </c>
      <c r="L117" s="90"/>
    </row>
    <row r="118" spans="1:12" x14ac:dyDescent="0.2">
      <c r="A118" s="88" t="s">
        <v>66</v>
      </c>
      <c r="B118" s="52"/>
      <c r="C118" s="67">
        <v>0</v>
      </c>
      <c r="D118" s="55">
        <v>0</v>
      </c>
      <c r="E118" s="75">
        <f>D118</f>
        <v>0</v>
      </c>
      <c r="F118" s="127">
        <v>0</v>
      </c>
      <c r="G118" s="128">
        <f>F118</f>
        <v>0</v>
      </c>
      <c r="H118" s="74">
        <v>0</v>
      </c>
      <c r="I118" s="75">
        <f t="shared" si="11"/>
        <v>0</v>
      </c>
      <c r="J118" s="127">
        <v>0</v>
      </c>
      <c r="K118" s="177">
        <f t="shared" si="12"/>
        <v>0</v>
      </c>
      <c r="L118" s="90"/>
    </row>
    <row r="119" spans="1:12" x14ac:dyDescent="0.2">
      <c r="A119" s="88" t="s">
        <v>76</v>
      </c>
      <c r="B119" s="52"/>
      <c r="C119" s="67">
        <v>2400</v>
      </c>
      <c r="D119" s="55">
        <f>C119</f>
        <v>2400</v>
      </c>
      <c r="E119" s="75">
        <f>D119</f>
        <v>2400</v>
      </c>
      <c r="F119" s="127">
        <f>E119</f>
        <v>2400</v>
      </c>
      <c r="G119" s="128">
        <f>F119</f>
        <v>2400</v>
      </c>
      <c r="H119" s="74">
        <f>G119</f>
        <v>2400</v>
      </c>
      <c r="I119" s="75">
        <f t="shared" si="11"/>
        <v>2400</v>
      </c>
      <c r="J119" s="127">
        <f>I119</f>
        <v>2400</v>
      </c>
      <c r="K119" s="177">
        <f t="shared" si="12"/>
        <v>2400</v>
      </c>
      <c r="L119" s="90"/>
    </row>
    <row r="120" spans="1:12" ht="14.25" x14ac:dyDescent="0.2">
      <c r="A120" s="88" t="s">
        <v>118</v>
      </c>
      <c r="B120" s="52"/>
      <c r="C120" s="69">
        <v>5840</v>
      </c>
      <c r="D120" s="56">
        <f>C120+D100</f>
        <v>6923.6</v>
      </c>
      <c r="E120" s="77">
        <f>D120-(D105-E105)</f>
        <v>6252</v>
      </c>
      <c r="F120" s="129">
        <f>E120+F100</f>
        <v>7389.78</v>
      </c>
      <c r="G120" s="130">
        <f>F120-(F105-G105)</f>
        <v>6684.5999999999995</v>
      </c>
      <c r="H120" s="76">
        <f>G120+H100</f>
        <v>7879.2689999999993</v>
      </c>
      <c r="I120" s="77">
        <f>H120-(H105-I105)</f>
        <v>7138.8300000000008</v>
      </c>
      <c r="J120" s="129">
        <f>I120+J100</f>
        <v>8393.2324500000013</v>
      </c>
      <c r="K120" s="178">
        <f>J120-(J105-K105)</f>
        <v>7615.7715000000007</v>
      </c>
      <c r="L120" s="90"/>
    </row>
    <row r="121" spans="1:12" x14ac:dyDescent="0.2">
      <c r="A121" s="387" t="s">
        <v>77</v>
      </c>
      <c r="B121" s="388"/>
      <c r="C121" s="70">
        <v>8240</v>
      </c>
      <c r="D121" s="57">
        <f t="shared" ref="D121:K121" si="15">D119+D120</f>
        <v>9323.6</v>
      </c>
      <c r="E121" s="79">
        <f t="shared" si="15"/>
        <v>8652</v>
      </c>
      <c r="F121" s="131">
        <f t="shared" si="15"/>
        <v>9789.7799999999988</v>
      </c>
      <c r="G121" s="132">
        <f t="shared" si="15"/>
        <v>9084.5999999999985</v>
      </c>
      <c r="H121" s="78">
        <f t="shared" si="15"/>
        <v>10279.269</v>
      </c>
      <c r="I121" s="79">
        <f t="shared" si="15"/>
        <v>9538.8300000000017</v>
      </c>
      <c r="J121" s="131">
        <f t="shared" si="15"/>
        <v>10793.232450000001</v>
      </c>
      <c r="K121" s="189">
        <f t="shared" si="15"/>
        <v>10015.771500000001</v>
      </c>
      <c r="L121" s="90"/>
    </row>
    <row r="122" spans="1:12" ht="20.25" customHeight="1" thickBot="1" x14ac:dyDescent="0.25">
      <c r="A122" s="389" t="s">
        <v>78</v>
      </c>
      <c r="B122" s="390"/>
      <c r="C122" s="116">
        <v>9040</v>
      </c>
      <c r="D122" s="179">
        <f t="shared" ref="D122:K122" si="16">D117+D118+D121</f>
        <v>10163.6</v>
      </c>
      <c r="E122" s="180">
        <f t="shared" si="16"/>
        <v>9492</v>
      </c>
      <c r="F122" s="181">
        <f t="shared" si="16"/>
        <v>10671.779999999999</v>
      </c>
      <c r="G122" s="182">
        <f t="shared" si="16"/>
        <v>9966.5999999999985</v>
      </c>
      <c r="H122" s="186">
        <f t="shared" si="16"/>
        <v>11205.369000000001</v>
      </c>
      <c r="I122" s="180">
        <f t="shared" si="16"/>
        <v>10464.930000000002</v>
      </c>
      <c r="J122" s="181">
        <f t="shared" si="16"/>
        <v>11765.637450000002</v>
      </c>
      <c r="K122" s="183">
        <f t="shared" si="16"/>
        <v>10988.176500000001</v>
      </c>
      <c r="L122" s="90"/>
    </row>
    <row r="123" spans="1:12" ht="15.75" thickBot="1" x14ac:dyDescent="0.25">
      <c r="A123" s="184"/>
      <c r="B123" s="185"/>
      <c r="C123" s="116"/>
      <c r="D123" s="309" t="str">
        <f>IF(D110=D122,"","UNBALANCED!")</f>
        <v/>
      </c>
      <c r="E123" s="309" t="str">
        <f t="shared" ref="E123:K123" si="17">IF(E110=E122,"","UNBALANCED!")</f>
        <v/>
      </c>
      <c r="F123" s="309" t="str">
        <f t="shared" si="17"/>
        <v/>
      </c>
      <c r="G123" s="309" t="str">
        <f t="shared" si="17"/>
        <v/>
      </c>
      <c r="H123" s="309" t="str">
        <f t="shared" si="17"/>
        <v/>
      </c>
      <c r="I123" s="309" t="str">
        <f t="shared" si="17"/>
        <v/>
      </c>
      <c r="J123" s="309" t="str">
        <f t="shared" si="17"/>
        <v/>
      </c>
      <c r="K123" s="309" t="str">
        <f t="shared" si="17"/>
        <v/>
      </c>
      <c r="L123" s="90"/>
    </row>
    <row r="124" spans="1:12" x14ac:dyDescent="0.2">
      <c r="A124" s="194" t="s">
        <v>116</v>
      </c>
      <c r="B124" s="52"/>
      <c r="C124" s="65"/>
      <c r="D124" s="247">
        <f>D103</f>
        <v>40907</v>
      </c>
      <c r="E124" s="80"/>
      <c r="F124" s="248">
        <f>F103</f>
        <v>41273</v>
      </c>
      <c r="G124" s="122"/>
      <c r="H124" s="249">
        <f>H103</f>
        <v>41638</v>
      </c>
      <c r="I124" s="80"/>
      <c r="J124" s="248">
        <f>J103</f>
        <v>42003</v>
      </c>
      <c r="K124" s="133"/>
      <c r="L124" s="90"/>
    </row>
    <row r="125" spans="1:12" x14ac:dyDescent="0.2">
      <c r="A125" s="88" t="s">
        <v>114</v>
      </c>
      <c r="B125" s="52"/>
      <c r="C125" s="65"/>
      <c r="D125" s="234">
        <f>D104+D106+D107+D109</f>
        <v>9492</v>
      </c>
      <c r="E125" s="239"/>
      <c r="F125" s="241">
        <f>F104+F106+F107+F109</f>
        <v>9966.6</v>
      </c>
      <c r="G125" s="242"/>
      <c r="H125" s="238">
        <f>H104+H106+H107+H109</f>
        <v>10464.93</v>
      </c>
      <c r="I125" s="239"/>
      <c r="J125" s="241">
        <f>J104+J106+J107+J109</f>
        <v>10988.176500000001</v>
      </c>
      <c r="K125" s="235"/>
      <c r="L125" s="90"/>
    </row>
    <row r="126" spans="1:12" x14ac:dyDescent="0.2">
      <c r="A126" s="88" t="s">
        <v>115</v>
      </c>
      <c r="B126" s="52"/>
      <c r="C126" s="65"/>
      <c r="D126" s="236">
        <f>D112+D113+D116+D118+D119+C120+D100</f>
        <v>10163.6</v>
      </c>
      <c r="E126" s="239"/>
      <c r="F126" s="243">
        <f>F112+F113+F116+F118+F119+E120+F100</f>
        <v>10671.78</v>
      </c>
      <c r="G126" s="242"/>
      <c r="H126" s="240">
        <f>H112+H113+H116+H118+H119+G120+H100</f>
        <v>11205.368999999999</v>
      </c>
      <c r="I126" s="239"/>
      <c r="J126" s="243">
        <f>J112+J113+J116+J118+J119+I120+J100</f>
        <v>11765.637450000002</v>
      </c>
      <c r="K126" s="235"/>
      <c r="L126" s="90"/>
    </row>
    <row r="127" spans="1:12" ht="21" customHeight="1" thickBot="1" x14ac:dyDescent="0.25">
      <c r="A127" s="88" t="s">
        <v>122</v>
      </c>
      <c r="B127" s="52"/>
      <c r="C127" s="65"/>
      <c r="D127" s="179">
        <f>D125-D126</f>
        <v>-671.60000000000036</v>
      </c>
      <c r="E127" s="180"/>
      <c r="F127" s="181">
        <f>F125-F126</f>
        <v>-705.18000000000029</v>
      </c>
      <c r="G127" s="182"/>
      <c r="H127" s="244">
        <f>H125-H126</f>
        <v>-740.43899999999849</v>
      </c>
      <c r="I127" s="180"/>
      <c r="J127" s="181">
        <f>J125-J126</f>
        <v>-777.46095000000059</v>
      </c>
      <c r="K127" s="183"/>
      <c r="L127" s="90"/>
    </row>
    <row r="128" spans="1:12" x14ac:dyDescent="0.2">
      <c r="A128" s="88"/>
      <c r="B128" s="52"/>
      <c r="C128" s="65"/>
      <c r="D128" s="308" t="str">
        <f>IF(AND(D127&lt;=0,F127&lt;=0,H127&lt;=0,J127&lt;=0),"","CALL BOARD MEETING!!! AFN has become negative and special financing is needed!!!")</f>
        <v/>
      </c>
      <c r="E128" s="190"/>
      <c r="F128" s="190"/>
      <c r="G128" s="190"/>
      <c r="H128" s="190"/>
      <c r="I128" s="190"/>
      <c r="J128" s="190"/>
      <c r="K128" s="190"/>
      <c r="L128" s="90"/>
    </row>
    <row r="129" spans="1:12" x14ac:dyDescent="0.2">
      <c r="A129" s="88" t="s">
        <v>80</v>
      </c>
      <c r="B129" s="52"/>
      <c r="C129" s="65"/>
      <c r="D129" s="81"/>
      <c r="E129" s="82"/>
      <c r="F129" s="65"/>
      <c r="G129" s="65"/>
      <c r="H129" s="65"/>
      <c r="I129" s="65"/>
      <c r="J129" s="65"/>
      <c r="K129" s="65"/>
      <c r="L129" s="90"/>
    </row>
    <row r="130" spans="1:12" x14ac:dyDescent="0.2">
      <c r="A130" s="325" t="s">
        <v>113</v>
      </c>
      <c r="B130" s="326"/>
      <c r="C130" s="326"/>
      <c r="D130" s="326"/>
      <c r="E130" s="326"/>
      <c r="F130" s="326"/>
      <c r="G130" s="326"/>
      <c r="H130" s="107"/>
      <c r="I130" s="107"/>
      <c r="J130" s="107"/>
      <c r="K130" s="107"/>
      <c r="L130" s="90"/>
    </row>
    <row r="131" spans="1:12" x14ac:dyDescent="0.2">
      <c r="A131" s="325"/>
      <c r="B131" s="326"/>
      <c r="C131" s="326"/>
      <c r="D131" s="326"/>
      <c r="E131" s="326"/>
      <c r="F131" s="326"/>
      <c r="G131" s="326"/>
      <c r="H131" s="107"/>
      <c r="I131" s="107"/>
      <c r="J131" s="107"/>
      <c r="K131" s="107"/>
      <c r="L131" s="90"/>
    </row>
    <row r="132" spans="1:12" ht="12.75" customHeight="1" x14ac:dyDescent="0.2">
      <c r="A132" s="325" t="s">
        <v>112</v>
      </c>
      <c r="B132" s="326"/>
      <c r="C132" s="326"/>
      <c r="D132" s="326"/>
      <c r="E132" s="326"/>
      <c r="F132" s="326"/>
      <c r="G132" s="326"/>
      <c r="H132" s="65"/>
      <c r="I132" s="65"/>
      <c r="J132" s="65"/>
      <c r="K132" s="65"/>
      <c r="L132" s="90"/>
    </row>
    <row r="133" spans="1:12" ht="12.75" customHeight="1" x14ac:dyDescent="0.2">
      <c r="A133" s="325"/>
      <c r="B133" s="326"/>
      <c r="C133" s="326"/>
      <c r="D133" s="326"/>
      <c r="E133" s="326"/>
      <c r="F133" s="326"/>
      <c r="G133" s="326"/>
      <c r="H133" s="65"/>
      <c r="I133" s="65"/>
      <c r="J133" s="65"/>
      <c r="K133" s="65"/>
      <c r="L133" s="90"/>
    </row>
    <row r="134" spans="1:12" ht="12.75" customHeight="1" x14ac:dyDescent="0.2">
      <c r="A134" s="325" t="s">
        <v>121</v>
      </c>
      <c r="B134" s="326"/>
      <c r="C134" s="326"/>
      <c r="D134" s="326"/>
      <c r="E134" s="326"/>
      <c r="F134" s="326"/>
      <c r="G134" s="326"/>
      <c r="H134" s="65"/>
      <c r="I134" s="65"/>
      <c r="J134" s="65"/>
      <c r="K134" s="65"/>
      <c r="L134" s="90"/>
    </row>
    <row r="135" spans="1:12" x14ac:dyDescent="0.2">
      <c r="A135" s="325"/>
      <c r="B135" s="326"/>
      <c r="C135" s="326"/>
      <c r="D135" s="326"/>
      <c r="E135" s="326"/>
      <c r="F135" s="326"/>
      <c r="G135" s="326"/>
      <c r="H135" s="107"/>
      <c r="I135" s="107"/>
      <c r="J135" s="107"/>
      <c r="K135" s="107"/>
      <c r="L135" s="90"/>
    </row>
    <row r="136" spans="1:12" x14ac:dyDescent="0.2">
      <c r="A136" s="325"/>
      <c r="B136" s="326"/>
      <c r="C136" s="326"/>
      <c r="D136" s="326"/>
      <c r="E136" s="326"/>
      <c r="F136" s="326"/>
      <c r="G136" s="326"/>
      <c r="H136" s="107"/>
      <c r="I136" s="107"/>
      <c r="J136" s="107"/>
      <c r="K136" s="107"/>
      <c r="L136" s="90"/>
    </row>
    <row r="137" spans="1:12" ht="12.75" customHeight="1" x14ac:dyDescent="0.2">
      <c r="A137" s="325" t="s">
        <v>119</v>
      </c>
      <c r="B137" s="326"/>
      <c r="C137" s="326"/>
      <c r="D137" s="326"/>
      <c r="E137" s="326"/>
      <c r="F137" s="326"/>
      <c r="G137" s="326"/>
      <c r="H137" s="107"/>
      <c r="I137" s="107"/>
      <c r="J137" s="107"/>
      <c r="K137" s="107"/>
      <c r="L137" s="90"/>
    </row>
    <row r="138" spans="1:12" ht="12.75" customHeight="1" x14ac:dyDescent="0.2">
      <c r="A138" s="325"/>
      <c r="B138" s="326"/>
      <c r="C138" s="326"/>
      <c r="D138" s="326"/>
      <c r="E138" s="326"/>
      <c r="F138" s="326"/>
      <c r="G138" s="326"/>
      <c r="H138" s="107"/>
      <c r="I138" s="107"/>
      <c r="J138" s="107"/>
      <c r="K138" s="107"/>
      <c r="L138" s="90"/>
    </row>
    <row r="139" spans="1:12" ht="12.75" customHeight="1" x14ac:dyDescent="0.2">
      <c r="A139" s="325"/>
      <c r="B139" s="326"/>
      <c r="C139" s="326"/>
      <c r="D139" s="326"/>
      <c r="E139" s="326"/>
      <c r="F139" s="326"/>
      <c r="G139" s="326"/>
      <c r="H139" s="107"/>
      <c r="I139" s="107"/>
      <c r="J139" s="107"/>
      <c r="K139" s="107"/>
      <c r="L139" s="90"/>
    </row>
    <row r="140" spans="1:12" ht="12.75" customHeight="1" x14ac:dyDescent="0.2">
      <c r="A140" s="325"/>
      <c r="B140" s="326"/>
      <c r="C140" s="326"/>
      <c r="D140" s="326"/>
      <c r="E140" s="326"/>
      <c r="F140" s="326"/>
      <c r="G140" s="326"/>
      <c r="H140" s="107"/>
      <c r="I140" s="107"/>
      <c r="J140" s="107"/>
      <c r="K140" s="107"/>
      <c r="L140" s="90"/>
    </row>
    <row r="141" spans="1:12" ht="12.75" customHeight="1" x14ac:dyDescent="0.2">
      <c r="A141" s="325"/>
      <c r="B141" s="326"/>
      <c r="C141" s="326"/>
      <c r="D141" s="326"/>
      <c r="E141" s="326"/>
      <c r="F141" s="326"/>
      <c r="G141" s="326"/>
      <c r="H141" s="107"/>
      <c r="I141" s="107"/>
      <c r="J141" s="107"/>
      <c r="K141" s="107"/>
      <c r="L141" s="90"/>
    </row>
    <row r="142" spans="1:12" ht="14.25" customHeight="1" x14ac:dyDescent="0.2">
      <c r="A142" s="325"/>
      <c r="B142" s="326"/>
      <c r="C142" s="326"/>
      <c r="D142" s="326"/>
      <c r="E142" s="326"/>
      <c r="F142" s="326"/>
      <c r="G142" s="326"/>
      <c r="H142" s="107"/>
      <c r="I142" s="107"/>
      <c r="J142" s="107"/>
      <c r="K142" s="107"/>
      <c r="L142" s="90"/>
    </row>
    <row r="143" spans="1:12" ht="15" thickBot="1" x14ac:dyDescent="0.25">
      <c r="A143" s="250"/>
      <c r="B143" s="251"/>
      <c r="C143" s="251"/>
      <c r="D143" s="251"/>
      <c r="E143" s="251"/>
      <c r="F143" s="251"/>
      <c r="G143" s="251"/>
      <c r="H143" s="252"/>
      <c r="I143" s="252"/>
      <c r="J143" s="252"/>
      <c r="K143" s="252"/>
      <c r="L143" s="101"/>
    </row>
    <row r="144" spans="1:12" ht="13.5" thickBot="1" x14ac:dyDescent="0.25"/>
    <row r="145" spans="1:14" x14ac:dyDescent="0.2">
      <c r="A145" s="84" t="s">
        <v>123</v>
      </c>
      <c r="B145" s="85"/>
      <c r="C145" s="86"/>
      <c r="D145" s="86"/>
      <c r="E145" s="86"/>
      <c r="F145" s="86"/>
      <c r="G145" s="86"/>
      <c r="H145" s="86"/>
      <c r="I145" s="86"/>
      <c r="J145" s="86"/>
      <c r="K145" s="86"/>
      <c r="L145" s="87"/>
    </row>
    <row r="146" spans="1:14" ht="13.5" thickBot="1" x14ac:dyDescent="0.25">
      <c r="A146" s="88"/>
      <c r="B146" s="52"/>
      <c r="C146" s="89"/>
      <c r="D146" s="89"/>
      <c r="E146" s="89"/>
      <c r="F146" s="89"/>
      <c r="G146" s="89"/>
      <c r="H146" s="89"/>
      <c r="I146" s="89"/>
      <c r="J146" s="89"/>
      <c r="K146" s="89"/>
      <c r="L146" s="90"/>
    </row>
    <row r="147" spans="1:14" ht="13.5" customHeight="1" x14ac:dyDescent="0.2">
      <c r="A147" s="382"/>
      <c r="B147" s="383"/>
      <c r="C147" s="383"/>
      <c r="D147" s="451" t="s">
        <v>58</v>
      </c>
      <c r="E147" s="452"/>
      <c r="F147" s="452"/>
      <c r="G147" s="452"/>
      <c r="H147" s="163"/>
      <c r="I147" s="163"/>
      <c r="J147" s="163"/>
      <c r="K147" s="164"/>
      <c r="L147" s="90"/>
    </row>
    <row r="148" spans="1:14" ht="16.5" customHeight="1" x14ac:dyDescent="0.35">
      <c r="A148" s="194"/>
      <c r="B148" s="195"/>
      <c r="C148" s="213"/>
      <c r="D148" s="457">
        <f>YEAR(C149)+1</f>
        <v>2011</v>
      </c>
      <c r="E148" s="414"/>
      <c r="F148" s="380">
        <f>YEAR(E149)+1</f>
        <v>2012</v>
      </c>
      <c r="G148" s="428"/>
      <c r="H148" s="413">
        <f>YEAR(G149)+1</f>
        <v>2013</v>
      </c>
      <c r="I148" s="414"/>
      <c r="J148" s="380">
        <f>YEAR(I149)+1</f>
        <v>2014</v>
      </c>
      <c r="K148" s="381"/>
      <c r="L148" s="90"/>
    </row>
    <row r="149" spans="1:14" ht="14.25" x14ac:dyDescent="0.2">
      <c r="A149" s="194" t="s">
        <v>124</v>
      </c>
      <c r="B149" s="95"/>
      <c r="C149" s="59">
        <f>C80</f>
        <v>40543</v>
      </c>
      <c r="D149" s="188">
        <f>DATE(YEAR(C149)+1,12,30)</f>
        <v>40907</v>
      </c>
      <c r="E149" s="196">
        <f>D149+1</f>
        <v>40908</v>
      </c>
      <c r="F149" s="187">
        <f>DATE(YEAR(E149)+1,12,30)</f>
        <v>41273</v>
      </c>
      <c r="G149" s="197">
        <f>F149+1</f>
        <v>41274</v>
      </c>
      <c r="H149" s="187">
        <f>DATE(YEAR(G149)+1,12,30)</f>
        <v>41638</v>
      </c>
      <c r="I149" s="196">
        <f>H149+1</f>
        <v>41639</v>
      </c>
      <c r="J149" s="187">
        <f>DATE(YEAR(I149)+1,12,30)</f>
        <v>42003</v>
      </c>
      <c r="K149" s="198">
        <f>J149+1</f>
        <v>42004</v>
      </c>
      <c r="L149" s="90"/>
    </row>
    <row r="150" spans="1:14" x14ac:dyDescent="0.2">
      <c r="A150" s="88" t="s">
        <v>165</v>
      </c>
      <c r="B150" s="52"/>
      <c r="C150" s="65">
        <f>C88*C$93</f>
        <v>640</v>
      </c>
      <c r="D150" s="54">
        <f>D88*D$93</f>
        <v>672</v>
      </c>
      <c r="E150" s="215">
        <f>D150</f>
        <v>672</v>
      </c>
      <c r="F150" s="253">
        <f>F88*F$93</f>
        <v>705.6</v>
      </c>
      <c r="G150" s="218">
        <f>F150</f>
        <v>705.6</v>
      </c>
      <c r="H150" s="253">
        <f>H88*H$93</f>
        <v>740.88</v>
      </c>
      <c r="I150" s="215">
        <f>H150</f>
        <v>740.88</v>
      </c>
      <c r="J150" s="253">
        <f>J88*J$93</f>
        <v>777.92400000000009</v>
      </c>
      <c r="K150" s="222">
        <f>J150</f>
        <v>777.92400000000009</v>
      </c>
      <c r="L150" s="90"/>
      <c r="N150" s="51"/>
    </row>
    <row r="151" spans="1:14" x14ac:dyDescent="0.2">
      <c r="A151" s="88" t="s">
        <v>49</v>
      </c>
      <c r="B151" s="52"/>
      <c r="C151" s="67">
        <f>C89*C$93</f>
        <v>160</v>
      </c>
      <c r="D151" s="55">
        <f>D89*D$93</f>
        <v>168</v>
      </c>
      <c r="E151" s="214">
        <f t="shared" ref="E151:G152" si="18">D151</f>
        <v>168</v>
      </c>
      <c r="F151" s="254">
        <f>F89*F$93</f>
        <v>176.4</v>
      </c>
      <c r="G151" s="219">
        <f t="shared" si="18"/>
        <v>176.4</v>
      </c>
      <c r="H151" s="254">
        <f>H89*H$93</f>
        <v>185.22</v>
      </c>
      <c r="I151" s="214">
        <f>H151</f>
        <v>185.22</v>
      </c>
      <c r="J151" s="254">
        <f>J89*J$93</f>
        <v>194.48100000000002</v>
      </c>
      <c r="K151" s="223">
        <f>J151</f>
        <v>194.48100000000002</v>
      </c>
      <c r="L151" s="90"/>
    </row>
    <row r="152" spans="1:14" x14ac:dyDescent="0.2">
      <c r="A152" s="88" t="s">
        <v>72</v>
      </c>
      <c r="B152" s="52"/>
      <c r="C152" s="69">
        <v>0</v>
      </c>
      <c r="D152" s="56">
        <v>0</v>
      </c>
      <c r="E152" s="216">
        <f t="shared" si="18"/>
        <v>0</v>
      </c>
      <c r="F152" s="255">
        <v>0</v>
      </c>
      <c r="G152" s="220">
        <f t="shared" si="18"/>
        <v>0</v>
      </c>
      <c r="H152" s="255">
        <v>0</v>
      </c>
      <c r="I152" s="216">
        <f>H152</f>
        <v>0</v>
      </c>
      <c r="J152" s="255">
        <v>0</v>
      </c>
      <c r="K152" s="224">
        <f>J152</f>
        <v>0</v>
      </c>
      <c r="L152" s="90"/>
    </row>
    <row r="153" spans="1:14" x14ac:dyDescent="0.2">
      <c r="A153" s="387" t="s">
        <v>73</v>
      </c>
      <c r="B153" s="388"/>
      <c r="C153" s="65">
        <f t="shared" ref="C153:K153" si="19">SUM(C150:C152)</f>
        <v>800</v>
      </c>
      <c r="D153" s="54">
        <f t="shared" si="19"/>
        <v>840</v>
      </c>
      <c r="E153" s="215">
        <f t="shared" si="19"/>
        <v>840</v>
      </c>
      <c r="F153" s="253">
        <f t="shared" si="19"/>
        <v>882</v>
      </c>
      <c r="G153" s="218">
        <f t="shared" si="19"/>
        <v>882</v>
      </c>
      <c r="H153" s="253">
        <f t="shared" si="19"/>
        <v>926.1</v>
      </c>
      <c r="I153" s="215">
        <f t="shared" si="19"/>
        <v>926.1</v>
      </c>
      <c r="J153" s="253">
        <f t="shared" si="19"/>
        <v>972.40500000000009</v>
      </c>
      <c r="K153" s="222">
        <f t="shared" si="19"/>
        <v>972.40500000000009</v>
      </c>
      <c r="L153" s="90"/>
    </row>
    <row r="154" spans="1:14" x14ac:dyDescent="0.2">
      <c r="A154" s="88" t="s">
        <v>74</v>
      </c>
      <c r="B154" s="52"/>
      <c r="C154" s="69">
        <v>0</v>
      </c>
      <c r="D154" s="56">
        <v>0</v>
      </c>
      <c r="E154" s="216">
        <v>0</v>
      </c>
      <c r="F154" s="255">
        <v>0</v>
      </c>
      <c r="G154" s="220">
        <v>0</v>
      </c>
      <c r="H154" s="255">
        <v>0</v>
      </c>
      <c r="I154" s="216">
        <v>0</v>
      </c>
      <c r="J154" s="255">
        <v>0</v>
      </c>
      <c r="K154" s="224">
        <v>0</v>
      </c>
      <c r="L154" s="90"/>
    </row>
    <row r="155" spans="1:14" x14ac:dyDescent="0.2">
      <c r="A155" s="387" t="s">
        <v>75</v>
      </c>
      <c r="B155" s="388"/>
      <c r="C155" s="65">
        <f t="shared" ref="C155:K155" si="20">C153+C154</f>
        <v>800</v>
      </c>
      <c r="D155" s="54">
        <f t="shared" si="20"/>
        <v>840</v>
      </c>
      <c r="E155" s="214">
        <f t="shared" si="20"/>
        <v>840</v>
      </c>
      <c r="F155" s="254">
        <f t="shared" si="20"/>
        <v>882</v>
      </c>
      <c r="G155" s="219">
        <f t="shared" si="20"/>
        <v>882</v>
      </c>
      <c r="H155" s="254">
        <f t="shared" si="20"/>
        <v>926.1</v>
      </c>
      <c r="I155" s="214">
        <f t="shared" si="20"/>
        <v>926.1</v>
      </c>
      <c r="J155" s="254">
        <f t="shared" si="20"/>
        <v>972.40500000000009</v>
      </c>
      <c r="K155" s="223">
        <f t="shared" si="20"/>
        <v>972.40500000000009</v>
      </c>
      <c r="L155" s="90"/>
    </row>
    <row r="156" spans="1:14" x14ac:dyDescent="0.2">
      <c r="A156" s="88" t="s">
        <v>66</v>
      </c>
      <c r="B156" s="52"/>
      <c r="C156" s="67">
        <v>0</v>
      </c>
      <c r="D156" s="55">
        <f t="shared" ref="D156:K157" si="21">D118</f>
        <v>0</v>
      </c>
      <c r="E156" s="214">
        <f t="shared" si="21"/>
        <v>0</v>
      </c>
      <c r="F156" s="254">
        <f t="shared" si="21"/>
        <v>0</v>
      </c>
      <c r="G156" s="219">
        <f t="shared" si="21"/>
        <v>0</v>
      </c>
      <c r="H156" s="254">
        <f t="shared" si="21"/>
        <v>0</v>
      </c>
      <c r="I156" s="214">
        <f t="shared" si="21"/>
        <v>0</v>
      </c>
      <c r="J156" s="254">
        <f t="shared" si="21"/>
        <v>0</v>
      </c>
      <c r="K156" s="223">
        <f t="shared" si="21"/>
        <v>0</v>
      </c>
      <c r="L156" s="90"/>
    </row>
    <row r="157" spans="1:14" x14ac:dyDescent="0.2">
      <c r="A157" s="88" t="s">
        <v>76</v>
      </c>
      <c r="B157" s="52"/>
      <c r="C157" s="67">
        <f>C119</f>
        <v>2400</v>
      </c>
      <c r="D157" s="55">
        <f t="shared" si="21"/>
        <v>2400</v>
      </c>
      <c r="E157" s="214">
        <f t="shared" si="21"/>
        <v>2400</v>
      </c>
      <c r="F157" s="254">
        <f t="shared" si="21"/>
        <v>2400</v>
      </c>
      <c r="G157" s="219">
        <f t="shared" si="21"/>
        <v>2400</v>
      </c>
      <c r="H157" s="254">
        <f t="shared" si="21"/>
        <v>2400</v>
      </c>
      <c r="I157" s="214">
        <f t="shared" si="21"/>
        <v>2400</v>
      </c>
      <c r="J157" s="254">
        <f t="shared" si="21"/>
        <v>2400</v>
      </c>
      <c r="K157" s="223">
        <f t="shared" si="21"/>
        <v>2400</v>
      </c>
      <c r="L157" s="90"/>
    </row>
    <row r="158" spans="1:14" ht="14.25" x14ac:dyDescent="0.2">
      <c r="A158" s="88" t="s">
        <v>125</v>
      </c>
      <c r="B158" s="52"/>
      <c r="C158" s="67">
        <v>0</v>
      </c>
      <c r="D158" s="55">
        <v>0</v>
      </c>
      <c r="E158" s="214">
        <f>-(D105-E105)</f>
        <v>-671.60000000000036</v>
      </c>
      <c r="F158" s="254">
        <f>E158</f>
        <v>-671.60000000000036</v>
      </c>
      <c r="G158" s="219">
        <f>F158-(F105-G105)</f>
        <v>-1376.7800000000007</v>
      </c>
      <c r="H158" s="254">
        <f>G158</f>
        <v>-1376.7800000000007</v>
      </c>
      <c r="I158" s="214">
        <f>H158-(H105-I105)</f>
        <v>-2117.2189999999991</v>
      </c>
      <c r="J158" s="254">
        <f>I158</f>
        <v>-2117.2189999999991</v>
      </c>
      <c r="K158" s="223">
        <f>J158-(J105-K105)</f>
        <v>-2894.6799499999997</v>
      </c>
      <c r="L158" s="90"/>
    </row>
    <row r="159" spans="1:14" ht="14.25" x14ac:dyDescent="0.2">
      <c r="A159" s="88" t="s">
        <v>108</v>
      </c>
      <c r="B159" s="52"/>
      <c r="C159" s="69">
        <f>C120</f>
        <v>5840</v>
      </c>
      <c r="D159" s="56">
        <f>C159+D100</f>
        <v>6923.6</v>
      </c>
      <c r="E159" s="216">
        <f>D159</f>
        <v>6923.6</v>
      </c>
      <c r="F159" s="255">
        <f>E159+F100</f>
        <v>8061.38</v>
      </c>
      <c r="G159" s="220">
        <f>F159</f>
        <v>8061.38</v>
      </c>
      <c r="H159" s="255">
        <f>G159+H100</f>
        <v>9256.0490000000009</v>
      </c>
      <c r="I159" s="216">
        <f>H159</f>
        <v>9256.0490000000009</v>
      </c>
      <c r="J159" s="255">
        <f>I159+J100</f>
        <v>10510.45145</v>
      </c>
      <c r="K159" s="224">
        <f>J159</f>
        <v>10510.45145</v>
      </c>
      <c r="L159" s="90"/>
    </row>
    <row r="160" spans="1:14" x14ac:dyDescent="0.2">
      <c r="A160" s="387" t="s">
        <v>77</v>
      </c>
      <c r="B160" s="388"/>
      <c r="C160" s="70">
        <f>C157+C158+C159</f>
        <v>8240</v>
      </c>
      <c r="D160" s="57">
        <f t="shared" ref="D160:K160" si="22">D157+D158+D159</f>
        <v>9323.6</v>
      </c>
      <c r="E160" s="216">
        <f t="shared" si="22"/>
        <v>8652</v>
      </c>
      <c r="F160" s="255">
        <f t="shared" si="22"/>
        <v>9789.7799999999988</v>
      </c>
      <c r="G160" s="220">
        <f t="shared" si="22"/>
        <v>9084.5999999999985</v>
      </c>
      <c r="H160" s="255">
        <f t="shared" si="22"/>
        <v>10279.269</v>
      </c>
      <c r="I160" s="216">
        <f t="shared" si="22"/>
        <v>9538.8300000000017</v>
      </c>
      <c r="J160" s="255">
        <f t="shared" si="22"/>
        <v>10793.232450000001</v>
      </c>
      <c r="K160" s="224">
        <f t="shared" si="22"/>
        <v>10015.771500000001</v>
      </c>
      <c r="L160" s="90"/>
    </row>
    <row r="161" spans="1:12" ht="22.5" customHeight="1" thickBot="1" x14ac:dyDescent="0.25">
      <c r="A161" s="389" t="s">
        <v>78</v>
      </c>
      <c r="B161" s="390"/>
      <c r="C161" s="116">
        <f t="shared" ref="C161:K161" si="23">C155+C156+C160</f>
        <v>9040</v>
      </c>
      <c r="D161" s="179">
        <f t="shared" si="23"/>
        <v>10163.6</v>
      </c>
      <c r="E161" s="217">
        <f t="shared" si="23"/>
        <v>9492</v>
      </c>
      <c r="F161" s="256">
        <f t="shared" si="23"/>
        <v>10671.779999999999</v>
      </c>
      <c r="G161" s="221">
        <f t="shared" si="23"/>
        <v>9966.5999999999985</v>
      </c>
      <c r="H161" s="256">
        <f t="shared" si="23"/>
        <v>11205.369000000001</v>
      </c>
      <c r="I161" s="217">
        <f t="shared" si="23"/>
        <v>10464.930000000002</v>
      </c>
      <c r="J161" s="256">
        <f t="shared" si="23"/>
        <v>11765.637450000002</v>
      </c>
      <c r="K161" s="225">
        <f t="shared" si="23"/>
        <v>10988.176500000001</v>
      </c>
      <c r="L161" s="90"/>
    </row>
    <row r="162" spans="1:12" x14ac:dyDescent="0.2">
      <c r="A162" s="88"/>
      <c r="B162" s="52"/>
      <c r="C162" s="65"/>
      <c r="D162" s="190" t="str">
        <f t="shared" ref="D162:K162" si="24">IF(D110=D161,"","Imbalance")</f>
        <v/>
      </c>
      <c r="E162" s="190" t="str">
        <f t="shared" si="24"/>
        <v/>
      </c>
      <c r="F162" s="190" t="str">
        <f t="shared" si="24"/>
        <v/>
      </c>
      <c r="G162" s="190" t="str">
        <f t="shared" si="24"/>
        <v/>
      </c>
      <c r="H162" s="190" t="str">
        <f t="shared" si="24"/>
        <v/>
      </c>
      <c r="I162" s="190" t="str">
        <f t="shared" si="24"/>
        <v/>
      </c>
      <c r="J162" s="190" t="str">
        <f t="shared" si="24"/>
        <v/>
      </c>
      <c r="K162" s="190" t="str">
        <f t="shared" si="24"/>
        <v/>
      </c>
      <c r="L162" s="90"/>
    </row>
    <row r="163" spans="1:12" x14ac:dyDescent="0.2">
      <c r="A163" s="88" t="s">
        <v>80</v>
      </c>
      <c r="B163" s="52"/>
      <c r="C163" s="65"/>
      <c r="D163" s="81"/>
      <c r="E163" s="82"/>
      <c r="F163" s="65"/>
      <c r="G163" s="65"/>
      <c r="H163" s="65"/>
      <c r="I163" s="65"/>
      <c r="J163" s="65"/>
      <c r="K163" s="65"/>
      <c r="L163" s="90"/>
    </row>
    <row r="164" spans="1:12" ht="12.75" customHeight="1" x14ac:dyDescent="0.2">
      <c r="A164" s="325" t="s">
        <v>126</v>
      </c>
      <c r="B164" s="326"/>
      <c r="C164" s="326"/>
      <c r="D164" s="326"/>
      <c r="E164" s="326"/>
      <c r="F164" s="326"/>
      <c r="G164" s="326"/>
      <c r="H164" s="65"/>
      <c r="I164" s="65"/>
      <c r="J164" s="65"/>
      <c r="K164" s="65"/>
      <c r="L164" s="90"/>
    </row>
    <row r="165" spans="1:12" ht="12.75" customHeight="1" x14ac:dyDescent="0.2">
      <c r="A165" s="325"/>
      <c r="B165" s="326"/>
      <c r="C165" s="326"/>
      <c r="D165" s="326"/>
      <c r="E165" s="326"/>
      <c r="F165" s="326"/>
      <c r="G165" s="326"/>
      <c r="H165" s="65"/>
      <c r="I165" s="65"/>
      <c r="J165" s="65"/>
      <c r="K165" s="65"/>
      <c r="L165" s="90"/>
    </row>
    <row r="166" spans="1:12" ht="12.75" customHeight="1" x14ac:dyDescent="0.2">
      <c r="A166" s="325"/>
      <c r="B166" s="326"/>
      <c r="C166" s="326"/>
      <c r="D166" s="326"/>
      <c r="E166" s="326"/>
      <c r="F166" s="326"/>
      <c r="G166" s="326"/>
      <c r="H166" s="65"/>
      <c r="I166" s="65"/>
      <c r="J166" s="65"/>
      <c r="K166" s="65"/>
      <c r="L166" s="90"/>
    </row>
    <row r="167" spans="1:12" ht="12.75" customHeight="1" x14ac:dyDescent="0.2">
      <c r="A167" s="325" t="s">
        <v>127</v>
      </c>
      <c r="B167" s="326"/>
      <c r="C167" s="326"/>
      <c r="D167" s="326"/>
      <c r="E167" s="326"/>
      <c r="F167" s="326"/>
      <c r="G167" s="326"/>
      <c r="H167" s="65"/>
      <c r="I167" s="65"/>
      <c r="J167" s="65"/>
      <c r="K167" s="65"/>
      <c r="L167" s="90"/>
    </row>
    <row r="168" spans="1:12" ht="12.75" customHeight="1" x14ac:dyDescent="0.2">
      <c r="A168" s="325"/>
      <c r="B168" s="326"/>
      <c r="C168" s="326"/>
      <c r="D168" s="326"/>
      <c r="E168" s="326"/>
      <c r="F168" s="326"/>
      <c r="G168" s="326"/>
      <c r="H168" s="65"/>
      <c r="I168" s="65"/>
      <c r="J168" s="65"/>
      <c r="K168" s="65"/>
      <c r="L168" s="90"/>
    </row>
    <row r="169" spans="1:12" ht="12.75" customHeight="1" x14ac:dyDescent="0.2">
      <c r="A169" s="325"/>
      <c r="B169" s="326"/>
      <c r="C169" s="326"/>
      <c r="D169" s="326"/>
      <c r="E169" s="326"/>
      <c r="F169" s="326"/>
      <c r="G169" s="326"/>
      <c r="H169" s="65"/>
      <c r="I169" s="65"/>
      <c r="J169" s="65"/>
      <c r="K169" s="65"/>
      <c r="L169" s="90"/>
    </row>
    <row r="170" spans="1:12" ht="12.75" customHeight="1" x14ac:dyDescent="0.2">
      <c r="A170" s="325" t="s">
        <v>128</v>
      </c>
      <c r="B170" s="326"/>
      <c r="C170" s="326"/>
      <c r="D170" s="326"/>
      <c r="E170" s="326"/>
      <c r="F170" s="326"/>
      <c r="G170" s="326"/>
      <c r="H170" s="65"/>
      <c r="I170" s="65"/>
      <c r="J170" s="65"/>
      <c r="K170" s="65"/>
      <c r="L170" s="90"/>
    </row>
    <row r="171" spans="1:12" ht="12.75" customHeight="1" x14ac:dyDescent="0.2">
      <c r="A171" s="325"/>
      <c r="B171" s="326"/>
      <c r="C171" s="326"/>
      <c r="D171" s="326"/>
      <c r="E171" s="326"/>
      <c r="F171" s="326"/>
      <c r="G171" s="326"/>
      <c r="H171" s="65"/>
      <c r="I171" s="65"/>
      <c r="J171" s="65"/>
      <c r="K171" s="65"/>
      <c r="L171" s="90"/>
    </row>
    <row r="172" spans="1:12" ht="15" thickBot="1" x14ac:dyDescent="0.25">
      <c r="A172" s="96"/>
      <c r="B172" s="97"/>
      <c r="C172" s="98"/>
      <c r="D172" s="99"/>
      <c r="E172" s="100"/>
      <c r="F172" s="98"/>
      <c r="G172" s="98"/>
      <c r="H172" s="98"/>
      <c r="I172" s="98"/>
      <c r="J172" s="98"/>
      <c r="K172" s="98"/>
      <c r="L172" s="101"/>
    </row>
    <row r="176" spans="1:12" ht="13.5" thickBot="1" x14ac:dyDescent="0.25"/>
    <row r="177" spans="1:12" x14ac:dyDescent="0.2">
      <c r="A177" s="84" t="s">
        <v>129</v>
      </c>
      <c r="B177" s="85"/>
      <c r="C177" s="86"/>
      <c r="D177" s="86"/>
      <c r="E177" s="86"/>
      <c r="F177" s="86"/>
      <c r="G177" s="86"/>
      <c r="H177" s="86"/>
      <c r="I177" s="86"/>
      <c r="J177" s="86"/>
      <c r="K177" s="86"/>
      <c r="L177" s="87"/>
    </row>
    <row r="178" spans="1:12" ht="13.5" thickBot="1" x14ac:dyDescent="0.25">
      <c r="A178" s="88"/>
      <c r="B178" s="52"/>
      <c r="C178" s="65" t="str">
        <f>IF(C110=C122,"","Not balanced")</f>
        <v/>
      </c>
      <c r="D178" s="190" t="str">
        <f t="shared" ref="D178:K178" si="25">IF(D110=D122,"","Imbalance")</f>
        <v/>
      </c>
      <c r="E178" s="191" t="str">
        <f t="shared" si="25"/>
        <v/>
      </c>
      <c r="F178" s="192" t="str">
        <f t="shared" si="25"/>
        <v/>
      </c>
      <c r="G178" s="192" t="str">
        <f t="shared" si="25"/>
        <v/>
      </c>
      <c r="H178" s="192" t="str">
        <f t="shared" si="25"/>
        <v/>
      </c>
      <c r="I178" s="192" t="str">
        <f t="shared" si="25"/>
        <v/>
      </c>
      <c r="J178" s="192" t="str">
        <f t="shared" si="25"/>
        <v/>
      </c>
      <c r="K178" s="192" t="str">
        <f t="shared" si="25"/>
        <v/>
      </c>
      <c r="L178" s="90"/>
    </row>
    <row r="179" spans="1:12" ht="13.5" customHeight="1" thickBot="1" x14ac:dyDescent="0.25">
      <c r="A179" s="382"/>
      <c r="B179" s="383"/>
      <c r="C179" s="383"/>
      <c r="D179" s="333" t="s">
        <v>58</v>
      </c>
      <c r="E179" s="334"/>
      <c r="F179" s="334"/>
      <c r="G179" s="334"/>
      <c r="H179" s="120"/>
      <c r="I179" s="120"/>
      <c r="J179" s="120"/>
      <c r="K179" s="121"/>
      <c r="L179" s="90"/>
    </row>
    <row r="180" spans="1:12" x14ac:dyDescent="0.2">
      <c r="A180" s="200"/>
      <c r="B180" s="257"/>
      <c r="C180" s="199"/>
      <c r="D180" s="404">
        <f>D92</f>
        <v>40908</v>
      </c>
      <c r="E180" s="398"/>
      <c r="F180" s="364">
        <f>F92</f>
        <v>41274</v>
      </c>
      <c r="G180" s="365"/>
      <c r="H180" s="397">
        <f>H92</f>
        <v>41639</v>
      </c>
      <c r="I180" s="398"/>
      <c r="J180" s="364">
        <f>J92</f>
        <v>42004</v>
      </c>
      <c r="K180" s="405"/>
      <c r="L180" s="90"/>
    </row>
    <row r="181" spans="1:12" ht="14.25" x14ac:dyDescent="0.2">
      <c r="A181" s="88" t="s">
        <v>130</v>
      </c>
      <c r="B181" s="52"/>
      <c r="C181" s="91"/>
      <c r="D181" s="415">
        <f>(D104-C104)+(D106-C106)+(D107-C107)+(D109-C109)-(D112-C112)-(D113-C113)</f>
        <v>412</v>
      </c>
      <c r="E181" s="408"/>
      <c r="F181" s="409">
        <f>(F104-E104)+(F106-E106)+(F107-E107)+(F109-E109)-(F112-E112)-(F113-E113)</f>
        <v>432.5999999999998</v>
      </c>
      <c r="G181" s="410"/>
      <c r="H181" s="407">
        <f>(H104-G104)+(H106-G106)+(H107-G107)+(H109-G109)-(H112-G112)-(H113-G113)</f>
        <v>454.22999999999939</v>
      </c>
      <c r="I181" s="408"/>
      <c r="J181" s="409">
        <f>(J104-I104)+(J106-I106)+(J107-I107)+(J109-I109)-(J112-I112)-(J113-I113)</f>
        <v>476.94150000000189</v>
      </c>
      <c r="K181" s="412"/>
      <c r="L181" s="90"/>
    </row>
    <row r="182" spans="1:12" x14ac:dyDescent="0.2">
      <c r="A182" s="88" t="s">
        <v>3</v>
      </c>
      <c r="B182" s="52"/>
      <c r="C182" s="91"/>
      <c r="D182" s="483">
        <v>1</v>
      </c>
      <c r="E182" s="484"/>
      <c r="F182" s="416">
        <v>1</v>
      </c>
      <c r="G182" s="485"/>
      <c r="H182" s="490">
        <v>1</v>
      </c>
      <c r="I182" s="484"/>
      <c r="J182" s="416">
        <v>1</v>
      </c>
      <c r="K182" s="417"/>
      <c r="L182" s="90"/>
    </row>
    <row r="183" spans="1:12" ht="14.25" x14ac:dyDescent="0.2">
      <c r="A183" s="88" t="s">
        <v>131</v>
      </c>
      <c r="B183" s="52"/>
      <c r="C183" s="91"/>
      <c r="D183" s="406">
        <f>D100</f>
        <v>1083.5999999999999</v>
      </c>
      <c r="E183" s="403"/>
      <c r="F183" s="378">
        <f>F100</f>
        <v>1137.78</v>
      </c>
      <c r="G183" s="411"/>
      <c r="H183" s="402">
        <f>H100</f>
        <v>1194.6690000000001</v>
      </c>
      <c r="I183" s="403"/>
      <c r="J183" s="378">
        <f>J100</f>
        <v>1254.4024500000005</v>
      </c>
      <c r="K183" s="379"/>
      <c r="L183" s="90"/>
    </row>
    <row r="184" spans="1:12" ht="14.25" x14ac:dyDescent="0.2">
      <c r="A184" s="88" t="s">
        <v>81</v>
      </c>
      <c r="B184" s="52"/>
      <c r="C184" s="91"/>
      <c r="D184" s="406">
        <f>D181*D182</f>
        <v>412</v>
      </c>
      <c r="E184" s="403"/>
      <c r="F184" s="378">
        <f>F181*F182</f>
        <v>432.5999999999998</v>
      </c>
      <c r="G184" s="411"/>
      <c r="H184" s="402">
        <f>H181*H182</f>
        <v>454.22999999999939</v>
      </c>
      <c r="I184" s="403"/>
      <c r="J184" s="378">
        <f>J181*J182</f>
        <v>476.94150000000189</v>
      </c>
      <c r="K184" s="379"/>
      <c r="L184" s="90"/>
    </row>
    <row r="185" spans="1:12" s="83" customFormat="1" ht="13.5" thickBot="1" x14ac:dyDescent="0.25">
      <c r="A185" s="88" t="s">
        <v>104</v>
      </c>
      <c r="B185" s="226"/>
      <c r="C185" s="226"/>
      <c r="D185" s="399">
        <f>D100-D181</f>
        <v>671.59999999999991</v>
      </c>
      <c r="E185" s="392"/>
      <c r="F185" s="400">
        <f>F100-F181</f>
        <v>705.18000000000018</v>
      </c>
      <c r="G185" s="401"/>
      <c r="H185" s="391">
        <f>H100-H181</f>
        <v>740.43900000000076</v>
      </c>
      <c r="I185" s="392"/>
      <c r="J185" s="400">
        <f>J100-J181</f>
        <v>777.46094999999855</v>
      </c>
      <c r="K185" s="493"/>
      <c r="L185" s="92"/>
    </row>
    <row r="186" spans="1:12" x14ac:dyDescent="0.2">
      <c r="A186" s="88"/>
      <c r="B186" s="52"/>
      <c r="C186" s="65"/>
      <c r="D186" s="190"/>
      <c r="E186" s="191"/>
      <c r="F186" s="192"/>
      <c r="G186" s="192"/>
      <c r="H186" s="192"/>
      <c r="I186" s="192"/>
      <c r="J186" s="192"/>
      <c r="K186" s="192"/>
      <c r="L186" s="90"/>
    </row>
    <row r="187" spans="1:12" x14ac:dyDescent="0.2">
      <c r="A187" s="93" t="s">
        <v>80</v>
      </c>
      <c r="B187" s="52"/>
      <c r="C187" s="65"/>
      <c r="D187" s="81"/>
      <c r="E187" s="82"/>
      <c r="F187" s="65"/>
      <c r="G187" s="65"/>
      <c r="H187" s="65"/>
      <c r="I187" s="65"/>
      <c r="J187" s="65"/>
      <c r="K187" s="65"/>
      <c r="L187" s="90"/>
    </row>
    <row r="188" spans="1:12" x14ac:dyDescent="0.2">
      <c r="A188" s="325" t="s">
        <v>132</v>
      </c>
      <c r="B188" s="326"/>
      <c r="C188" s="326"/>
      <c r="D188" s="326"/>
      <c r="E188" s="326"/>
      <c r="F188" s="326"/>
      <c r="G188" s="326"/>
      <c r="H188" s="65"/>
      <c r="I188" s="65"/>
      <c r="J188" s="65"/>
      <c r="K188" s="65"/>
      <c r="L188" s="90"/>
    </row>
    <row r="189" spans="1:12" x14ac:dyDescent="0.2">
      <c r="A189" s="325"/>
      <c r="B189" s="326"/>
      <c r="C189" s="326"/>
      <c r="D189" s="326"/>
      <c r="E189" s="326"/>
      <c r="F189" s="326"/>
      <c r="G189" s="326"/>
      <c r="H189" s="65"/>
      <c r="I189" s="65"/>
      <c r="J189" s="65"/>
      <c r="K189" s="65"/>
      <c r="L189" s="90"/>
    </row>
    <row r="190" spans="1:12" ht="12.75" customHeight="1" x14ac:dyDescent="0.2">
      <c r="A190" s="325" t="s">
        <v>133</v>
      </c>
      <c r="B190" s="326"/>
      <c r="C190" s="326"/>
      <c r="D190" s="326"/>
      <c r="E190" s="326"/>
      <c r="F190" s="326"/>
      <c r="G190" s="326"/>
      <c r="H190" s="65"/>
      <c r="I190" s="65"/>
      <c r="J190" s="65"/>
      <c r="K190" s="65"/>
      <c r="L190" s="90"/>
    </row>
    <row r="191" spans="1:12" ht="12.75" customHeight="1" x14ac:dyDescent="0.2">
      <c r="A191" s="325" t="s">
        <v>134</v>
      </c>
      <c r="B191" s="326"/>
      <c r="C191" s="326"/>
      <c r="D191" s="326"/>
      <c r="E191" s="326"/>
      <c r="F191" s="326"/>
      <c r="G191" s="326"/>
      <c r="H191" s="65"/>
      <c r="I191" s="65"/>
      <c r="J191" s="65"/>
      <c r="K191" s="65"/>
      <c r="L191" s="90"/>
    </row>
    <row r="192" spans="1:12" ht="12.75" customHeight="1" thickBot="1" x14ac:dyDescent="0.25">
      <c r="A192" s="147"/>
      <c r="B192" s="148"/>
      <c r="C192" s="148"/>
      <c r="D192" s="148"/>
      <c r="E192" s="148"/>
      <c r="F192" s="148"/>
      <c r="G192" s="148"/>
      <c r="H192" s="98"/>
      <c r="I192" s="98"/>
      <c r="J192" s="98"/>
      <c r="K192" s="98"/>
      <c r="L192" s="101"/>
    </row>
    <row r="198" spans="1:12" ht="13.5" thickBot="1" x14ac:dyDescent="0.25"/>
    <row r="199" spans="1:12" x14ac:dyDescent="0.2">
      <c r="A199" s="84" t="s">
        <v>136</v>
      </c>
      <c r="B199" s="136"/>
      <c r="C199" s="137"/>
      <c r="D199" s="138"/>
      <c r="E199" s="138"/>
      <c r="F199" s="138"/>
      <c r="G199" s="138"/>
      <c r="H199" s="138"/>
      <c r="I199" s="138"/>
      <c r="J199" s="138"/>
      <c r="K199" s="104"/>
      <c r="L199" s="87"/>
    </row>
    <row r="200" spans="1:12" x14ac:dyDescent="0.2">
      <c r="A200" s="139"/>
      <c r="B200" s="140"/>
      <c r="C200" s="141"/>
      <c r="D200" s="142"/>
      <c r="E200" s="142"/>
      <c r="F200" s="142"/>
      <c r="G200" s="142"/>
      <c r="H200" s="142"/>
      <c r="I200" s="142"/>
      <c r="J200" s="142"/>
      <c r="K200" s="107"/>
      <c r="L200" s="90"/>
    </row>
    <row r="201" spans="1:12" ht="13.5" thickBot="1" x14ac:dyDescent="0.25">
      <c r="A201" s="143" t="s">
        <v>82</v>
      </c>
      <c r="B201" s="144">
        <v>0.12</v>
      </c>
      <c r="C201" s="141"/>
      <c r="D201" s="142"/>
      <c r="E201" s="142"/>
      <c r="F201" s="142"/>
      <c r="G201" s="142"/>
      <c r="H201" s="142"/>
      <c r="I201" s="142"/>
      <c r="J201" s="142"/>
      <c r="K201" s="107"/>
      <c r="L201" s="90"/>
    </row>
    <row r="202" spans="1:12" ht="13.5" customHeight="1" thickBot="1" x14ac:dyDescent="0.25">
      <c r="A202" s="487"/>
      <c r="B202" s="488"/>
      <c r="C202" s="94"/>
      <c r="D202" s="451" t="s">
        <v>58</v>
      </c>
      <c r="E202" s="452"/>
      <c r="F202" s="452"/>
      <c r="G202" s="452"/>
      <c r="H202" s="163"/>
      <c r="I202" s="163"/>
      <c r="J202" s="163"/>
      <c r="K202" s="164"/>
      <c r="L202" s="90"/>
    </row>
    <row r="203" spans="1:12" x14ac:dyDescent="0.2">
      <c r="A203" s="382" t="s">
        <v>137</v>
      </c>
      <c r="B203" s="383"/>
      <c r="C203" s="59">
        <f>C$80</f>
        <v>40543</v>
      </c>
      <c r="D203" s="368">
        <f>D92</f>
        <v>40908</v>
      </c>
      <c r="E203" s="458"/>
      <c r="F203" s="366">
        <f>F92</f>
        <v>41274</v>
      </c>
      <c r="G203" s="367"/>
      <c r="H203" s="368">
        <f>H92</f>
        <v>41639</v>
      </c>
      <c r="I203" s="369"/>
      <c r="J203" s="366">
        <f>J92</f>
        <v>42004</v>
      </c>
      <c r="K203" s="367"/>
      <c r="L203" s="90"/>
    </row>
    <row r="204" spans="1:12" ht="14.25" x14ac:dyDescent="0.2">
      <c r="A204" s="88" t="s">
        <v>87</v>
      </c>
      <c r="B204" s="52"/>
      <c r="C204" s="61">
        <f>C104+C106+C107</f>
        <v>2240</v>
      </c>
      <c r="D204" s="370">
        <f>D104+D106+D107</f>
        <v>2352</v>
      </c>
      <c r="E204" s="384"/>
      <c r="F204" s="341">
        <f>F104+F106+F107</f>
        <v>2469.6</v>
      </c>
      <c r="G204" s="342"/>
      <c r="H204" s="370">
        <f>H104+H106+H107</f>
        <v>2593.08</v>
      </c>
      <c r="I204" s="371"/>
      <c r="J204" s="341">
        <f>J104+J106+J107</f>
        <v>2722.7340000000004</v>
      </c>
      <c r="K204" s="342"/>
      <c r="L204" s="90"/>
    </row>
    <row r="205" spans="1:12" ht="16.5" x14ac:dyDescent="0.35">
      <c r="A205" s="88" t="s">
        <v>86</v>
      </c>
      <c r="B205" s="52"/>
      <c r="C205" s="62">
        <f>C112+C113</f>
        <v>800</v>
      </c>
      <c r="D205" s="372">
        <f>D112+D113</f>
        <v>840</v>
      </c>
      <c r="E205" s="373"/>
      <c r="F205" s="362">
        <f>F112+F113</f>
        <v>882</v>
      </c>
      <c r="G205" s="363"/>
      <c r="H205" s="372">
        <f>H112+H113</f>
        <v>926.1</v>
      </c>
      <c r="I205" s="373"/>
      <c r="J205" s="362">
        <f>J112+J113</f>
        <v>972.40500000000009</v>
      </c>
      <c r="K205" s="363"/>
      <c r="L205" s="90"/>
    </row>
    <row r="206" spans="1:12" ht="14.25" x14ac:dyDescent="0.2">
      <c r="A206" s="88" t="s">
        <v>88</v>
      </c>
      <c r="B206" s="52"/>
      <c r="C206" s="61">
        <f>C204-C205</f>
        <v>1440</v>
      </c>
      <c r="D206" s="370">
        <f>D204-D205</f>
        <v>1512</v>
      </c>
      <c r="E206" s="384"/>
      <c r="F206" s="341">
        <f>F204-F205</f>
        <v>1587.6</v>
      </c>
      <c r="G206" s="342"/>
      <c r="H206" s="370">
        <f>H204-H205</f>
        <v>1666.98</v>
      </c>
      <c r="I206" s="371"/>
      <c r="J206" s="341">
        <f>J204-J205</f>
        <v>1750.3290000000002</v>
      </c>
      <c r="K206" s="342"/>
      <c r="L206" s="90"/>
    </row>
    <row r="207" spans="1:12" ht="15" x14ac:dyDescent="0.35">
      <c r="A207" s="88" t="s">
        <v>85</v>
      </c>
      <c r="B207" s="52"/>
      <c r="C207" s="62">
        <f>C109</f>
        <v>6800</v>
      </c>
      <c r="D207" s="372">
        <f>D109</f>
        <v>7140</v>
      </c>
      <c r="E207" s="489"/>
      <c r="F207" s="362">
        <f>F109</f>
        <v>7497</v>
      </c>
      <c r="G207" s="363"/>
      <c r="H207" s="372">
        <f>H109</f>
        <v>7871.8499999999995</v>
      </c>
      <c r="I207" s="373"/>
      <c r="J207" s="362">
        <f>J109</f>
        <v>8265.442500000001</v>
      </c>
      <c r="K207" s="363"/>
      <c r="L207" s="90"/>
    </row>
    <row r="208" spans="1:12" ht="14.25" x14ac:dyDescent="0.2">
      <c r="A208" s="88" t="s">
        <v>89</v>
      </c>
      <c r="B208" s="52"/>
      <c r="C208" s="61">
        <f>C206+C207</f>
        <v>8240</v>
      </c>
      <c r="D208" s="370">
        <f>D206+D207</f>
        <v>8652</v>
      </c>
      <c r="E208" s="384"/>
      <c r="F208" s="341">
        <f>F206+F207</f>
        <v>9084.6</v>
      </c>
      <c r="G208" s="342"/>
      <c r="H208" s="370">
        <f>H206+H207</f>
        <v>9538.83</v>
      </c>
      <c r="I208" s="371"/>
      <c r="J208" s="341">
        <f>J206+J207</f>
        <v>10015.771500000001</v>
      </c>
      <c r="K208" s="342"/>
      <c r="L208" s="90"/>
    </row>
    <row r="209" spans="1:17" ht="14.25" x14ac:dyDescent="0.2">
      <c r="A209" s="88" t="s">
        <v>90</v>
      </c>
      <c r="B209" s="52"/>
      <c r="C209" s="61">
        <f>C96*(1-C90)</f>
        <v>1032</v>
      </c>
      <c r="D209" s="370">
        <f>D96*(1-D90)</f>
        <v>1083.5999999999999</v>
      </c>
      <c r="E209" s="384"/>
      <c r="F209" s="341">
        <f>F96*(1-F90)</f>
        <v>1137.78</v>
      </c>
      <c r="G209" s="342"/>
      <c r="H209" s="370">
        <f>H96*(1-H90)</f>
        <v>1194.6690000000001</v>
      </c>
      <c r="I209" s="371"/>
      <c r="J209" s="341">
        <f>J96*(1-J90)</f>
        <v>1254.4024500000007</v>
      </c>
      <c r="K209" s="342"/>
      <c r="L209" s="90"/>
      <c r="O209" s="134"/>
    </row>
    <row r="210" spans="1:17" ht="16.5" x14ac:dyDescent="0.35">
      <c r="A210" s="88" t="s">
        <v>91</v>
      </c>
      <c r="B210" s="52"/>
      <c r="C210" s="61"/>
      <c r="D210" s="372">
        <f>D208-C208</f>
        <v>412</v>
      </c>
      <c r="E210" s="489"/>
      <c r="F210" s="362">
        <f>F208-D208</f>
        <v>432.60000000000036</v>
      </c>
      <c r="G210" s="363"/>
      <c r="H210" s="372">
        <f>H208-F208</f>
        <v>454.22999999999956</v>
      </c>
      <c r="I210" s="373"/>
      <c r="J210" s="362">
        <f>J208-H208</f>
        <v>476.94150000000081</v>
      </c>
      <c r="K210" s="363"/>
      <c r="L210" s="90"/>
      <c r="O210" s="134"/>
    </row>
    <row r="211" spans="1:17" ht="15" x14ac:dyDescent="0.2">
      <c r="A211" s="145" t="s">
        <v>92</v>
      </c>
      <c r="B211" s="117"/>
      <c r="C211" s="61"/>
      <c r="D211" s="351">
        <f>D209-D210</f>
        <v>671.59999999999991</v>
      </c>
      <c r="E211" s="456"/>
      <c r="F211" s="339">
        <f>F209-F210</f>
        <v>705.17999999999961</v>
      </c>
      <c r="G211" s="340"/>
      <c r="H211" s="351">
        <f>H209-H210</f>
        <v>740.43900000000053</v>
      </c>
      <c r="I211" s="352"/>
      <c r="J211" s="339">
        <f>J209-J210</f>
        <v>777.46094999999991</v>
      </c>
      <c r="K211" s="340"/>
      <c r="L211" s="90"/>
      <c r="O211" s="134"/>
    </row>
    <row r="212" spans="1:17" x14ac:dyDescent="0.2">
      <c r="A212" s="88"/>
      <c r="B212" s="52"/>
      <c r="C212" s="61"/>
      <c r="D212" s="150"/>
      <c r="E212" s="118"/>
      <c r="F212" s="165"/>
      <c r="G212" s="166"/>
      <c r="H212" s="150"/>
      <c r="I212" s="151"/>
      <c r="J212" s="165"/>
      <c r="K212" s="166"/>
      <c r="L212" s="90"/>
      <c r="O212" s="134"/>
    </row>
    <row r="213" spans="1:17" x14ac:dyDescent="0.2">
      <c r="A213" s="355" t="s">
        <v>83</v>
      </c>
      <c r="B213" s="356"/>
      <c r="C213" s="58"/>
      <c r="D213" s="152"/>
      <c r="E213" s="159"/>
      <c r="F213" s="167"/>
      <c r="G213" s="168"/>
      <c r="H213" s="152"/>
      <c r="I213" s="153"/>
      <c r="J213" s="167"/>
      <c r="K213" s="168"/>
      <c r="L213" s="90"/>
    </row>
    <row r="214" spans="1:17" ht="14.25" x14ac:dyDescent="0.2">
      <c r="A214" s="88" t="s">
        <v>140</v>
      </c>
      <c r="B214" s="140"/>
      <c r="C214" s="61"/>
      <c r="D214" s="347">
        <f>D209/C208</f>
        <v>0.13150485436893203</v>
      </c>
      <c r="E214" s="357"/>
      <c r="F214" s="349">
        <f>F209/D208</f>
        <v>0.13150485436893203</v>
      </c>
      <c r="G214" s="350"/>
      <c r="H214" s="347">
        <f>H209/F208</f>
        <v>0.13150485436893206</v>
      </c>
      <c r="I214" s="348"/>
      <c r="J214" s="349">
        <f>J209/H208</f>
        <v>0.13150485436893211</v>
      </c>
      <c r="K214" s="350"/>
      <c r="L214" s="90"/>
    </row>
    <row r="215" spans="1:17" x14ac:dyDescent="0.2">
      <c r="A215" s="88" t="s">
        <v>48</v>
      </c>
      <c r="B215" s="52"/>
      <c r="C215" s="61"/>
      <c r="D215" s="360" t="s">
        <v>46</v>
      </c>
      <c r="E215" s="361"/>
      <c r="F215" s="349">
        <f>F211/D211-1</f>
        <v>4.99999999999996E-2</v>
      </c>
      <c r="G215" s="350"/>
      <c r="H215" s="347">
        <f>H211/F211-1</f>
        <v>5.0000000000001377E-2</v>
      </c>
      <c r="I215" s="348"/>
      <c r="J215" s="349">
        <f>J211/H211-1</f>
        <v>4.9999999999999156E-2</v>
      </c>
      <c r="K215" s="350"/>
      <c r="L215" s="90"/>
    </row>
    <row r="216" spans="1:17" x14ac:dyDescent="0.2">
      <c r="A216" s="88" t="s">
        <v>47</v>
      </c>
      <c r="B216" s="52"/>
      <c r="C216" s="61"/>
      <c r="D216" s="347">
        <f>D93/C93-1</f>
        <v>5.0000000000000044E-2</v>
      </c>
      <c r="E216" s="357"/>
      <c r="F216" s="349">
        <f>F93/D93-1</f>
        <v>5.0000000000000044E-2</v>
      </c>
      <c r="G216" s="350"/>
      <c r="H216" s="347">
        <f>H93/F93-1</f>
        <v>5.0000000000000044E-2</v>
      </c>
      <c r="I216" s="348"/>
      <c r="J216" s="349">
        <f>J93/H93-1</f>
        <v>5.0000000000000044E-2</v>
      </c>
      <c r="K216" s="350"/>
      <c r="L216" s="90"/>
    </row>
    <row r="217" spans="1:17" x14ac:dyDescent="0.2">
      <c r="A217" s="146"/>
      <c r="B217" s="140"/>
      <c r="C217" s="141"/>
      <c r="D217" s="154"/>
      <c r="E217" s="160"/>
      <c r="F217" s="169"/>
      <c r="G217" s="170"/>
      <c r="H217" s="154"/>
      <c r="I217" s="155"/>
      <c r="J217" s="169"/>
      <c r="K217" s="170"/>
      <c r="L217" s="90"/>
    </row>
    <row r="218" spans="1:17" x14ac:dyDescent="0.2">
      <c r="A218" s="194" t="s">
        <v>84</v>
      </c>
      <c r="B218" s="119"/>
      <c r="C218" s="95"/>
      <c r="D218" s="156"/>
      <c r="E218" s="161"/>
      <c r="F218" s="171"/>
      <c r="G218" s="172"/>
      <c r="H218" s="156"/>
      <c r="I218" s="157"/>
      <c r="J218" s="171"/>
      <c r="K218" s="172"/>
      <c r="L218" s="90"/>
    </row>
    <row r="219" spans="1:17" ht="15" customHeight="1" thickBot="1" x14ac:dyDescent="0.25">
      <c r="A219" s="88" t="s">
        <v>98</v>
      </c>
      <c r="B219" s="52"/>
      <c r="C219" s="60"/>
      <c r="D219" s="158"/>
      <c r="E219" s="162"/>
      <c r="F219" s="341">
        <f>(F211*(1+F215))/($B$201-F215)</f>
        <v>10577.69999999993</v>
      </c>
      <c r="G219" s="342"/>
      <c r="H219" s="370">
        <f>(H211*(1+H215))/($B$201-H215)</f>
        <v>11106.585000000243</v>
      </c>
      <c r="I219" s="371"/>
      <c r="J219" s="341">
        <f>(J211*(1+J215))/($B$201-J215)</f>
        <v>11661.914249999849</v>
      </c>
      <c r="K219" s="342"/>
      <c r="L219" s="90"/>
      <c r="M219" s="491" t="s">
        <v>135</v>
      </c>
      <c r="N219" s="492"/>
      <c r="O219" s="492"/>
      <c r="P219" s="492"/>
      <c r="Q219" s="492"/>
    </row>
    <row r="220" spans="1:17" ht="21" customHeight="1" thickBot="1" x14ac:dyDescent="0.25">
      <c r="A220" s="145" t="s">
        <v>99</v>
      </c>
      <c r="B220" s="52"/>
      <c r="C220" s="173">
        <f>(D220+D211)/(1+B201)</f>
        <v>9594.2857142856574</v>
      </c>
      <c r="D220" s="358">
        <f>(F220+F211)/(1+$B$201)</f>
        <v>10073.999999999936</v>
      </c>
      <c r="E220" s="359"/>
      <c r="F220" s="345">
        <f>F219</f>
        <v>10577.69999999993</v>
      </c>
      <c r="G220" s="346"/>
      <c r="H220" s="343">
        <f>(J220+J211)/(1+$B$201)</f>
        <v>11106.584999999865</v>
      </c>
      <c r="I220" s="344"/>
      <c r="J220" s="345">
        <f>J219</f>
        <v>11661.914249999849</v>
      </c>
      <c r="K220" s="346"/>
      <c r="L220" s="90"/>
      <c r="M220" s="491"/>
      <c r="N220" s="492"/>
      <c r="O220" s="492"/>
      <c r="P220" s="492"/>
      <c r="Q220" s="492"/>
    </row>
    <row r="221" spans="1:17" x14ac:dyDescent="0.2">
      <c r="A221" s="88"/>
      <c r="B221" s="52"/>
      <c r="C221" s="60"/>
      <c r="D221" s="60"/>
      <c r="E221" s="60"/>
      <c r="F221" s="60"/>
      <c r="G221" s="60"/>
      <c r="H221" s="60"/>
      <c r="I221" s="60"/>
      <c r="J221" s="60"/>
      <c r="K221" s="60"/>
      <c r="L221" s="90"/>
      <c r="M221" s="323"/>
      <c r="N221" s="322"/>
      <c r="O221" s="322"/>
      <c r="P221" s="322"/>
      <c r="Q221" s="322"/>
    </row>
    <row r="222" spans="1:17" x14ac:dyDescent="0.2">
      <c r="A222" s="93" t="s">
        <v>80</v>
      </c>
      <c r="B222" s="52"/>
      <c r="C222" s="60"/>
      <c r="D222" s="60"/>
      <c r="E222" s="60"/>
      <c r="F222" s="60"/>
      <c r="G222" s="60"/>
      <c r="H222" s="60"/>
      <c r="I222" s="60"/>
      <c r="J222" s="60"/>
      <c r="K222" s="60"/>
      <c r="L222" s="90"/>
      <c r="M222" s="323"/>
      <c r="N222" s="322"/>
      <c r="O222" s="322"/>
      <c r="P222" s="322"/>
      <c r="Q222" s="322"/>
    </row>
    <row r="223" spans="1:17" ht="14.25" x14ac:dyDescent="0.2">
      <c r="A223" s="325" t="s">
        <v>93</v>
      </c>
      <c r="B223" s="326"/>
      <c r="C223" s="326"/>
      <c r="D223" s="326"/>
      <c r="E223" s="326"/>
      <c r="F223" s="326"/>
      <c r="G223" s="326"/>
      <c r="H223" s="60"/>
      <c r="I223" s="60"/>
      <c r="J223" s="60"/>
      <c r="K223" s="60"/>
      <c r="L223" s="90"/>
      <c r="M223" s="323"/>
      <c r="N223" s="322"/>
      <c r="O223" s="322"/>
      <c r="P223" s="322"/>
      <c r="Q223" s="322"/>
    </row>
    <row r="224" spans="1:17" ht="14.25" x14ac:dyDescent="0.2">
      <c r="A224" s="325" t="s">
        <v>94</v>
      </c>
      <c r="B224" s="326"/>
      <c r="C224" s="326"/>
      <c r="D224" s="326"/>
      <c r="E224" s="326"/>
      <c r="F224" s="326"/>
      <c r="G224" s="326"/>
      <c r="H224" s="60"/>
      <c r="I224" s="60"/>
      <c r="J224" s="60"/>
      <c r="K224" s="60"/>
      <c r="L224" s="90"/>
    </row>
    <row r="225" spans="1:12" x14ac:dyDescent="0.2">
      <c r="A225" s="325" t="s">
        <v>100</v>
      </c>
      <c r="B225" s="326"/>
      <c r="C225" s="326"/>
      <c r="D225" s="326"/>
      <c r="E225" s="326"/>
      <c r="F225" s="326"/>
      <c r="G225" s="326"/>
      <c r="H225" s="60"/>
      <c r="I225" s="60"/>
      <c r="J225" s="60"/>
      <c r="K225" s="60"/>
      <c r="L225" s="90"/>
    </row>
    <row r="226" spans="1:12" x14ac:dyDescent="0.2">
      <c r="A226" s="325"/>
      <c r="B226" s="326"/>
      <c r="C226" s="326"/>
      <c r="D226" s="326"/>
      <c r="E226" s="326"/>
      <c r="F226" s="326"/>
      <c r="G226" s="326"/>
      <c r="H226" s="60"/>
      <c r="I226" s="60"/>
      <c r="J226" s="60"/>
      <c r="K226" s="60"/>
      <c r="L226" s="90"/>
    </row>
    <row r="227" spans="1:12" ht="14.25" x14ac:dyDescent="0.2">
      <c r="A227" s="325" t="s">
        <v>95</v>
      </c>
      <c r="B227" s="326"/>
      <c r="C227" s="326"/>
      <c r="D227" s="326"/>
      <c r="E227" s="326"/>
      <c r="F227" s="326"/>
      <c r="G227" s="326"/>
      <c r="H227" s="60"/>
      <c r="I227" s="60"/>
      <c r="J227" s="60"/>
      <c r="K227" s="60"/>
      <c r="L227" s="90"/>
    </row>
    <row r="228" spans="1:12" ht="14.25" customHeight="1" x14ac:dyDescent="0.2">
      <c r="A228" s="325" t="s">
        <v>101</v>
      </c>
      <c r="B228" s="326"/>
      <c r="C228" s="326"/>
      <c r="D228" s="326"/>
      <c r="E228" s="326"/>
      <c r="F228" s="326"/>
      <c r="G228" s="326"/>
      <c r="H228" s="60"/>
      <c r="I228" s="60"/>
      <c r="J228" s="60"/>
      <c r="K228" s="60"/>
      <c r="L228" s="90"/>
    </row>
    <row r="229" spans="1:12" ht="14.25" customHeight="1" x14ac:dyDescent="0.2">
      <c r="A229" s="325"/>
      <c r="B229" s="326"/>
      <c r="C229" s="326"/>
      <c r="D229" s="326"/>
      <c r="E229" s="326"/>
      <c r="F229" s="326"/>
      <c r="G229" s="326"/>
      <c r="H229" s="60"/>
      <c r="I229" s="60"/>
      <c r="J229" s="60"/>
      <c r="K229" s="60"/>
      <c r="L229" s="90"/>
    </row>
    <row r="230" spans="1:12" ht="14.25" x14ac:dyDescent="0.2">
      <c r="A230" s="325" t="s">
        <v>96</v>
      </c>
      <c r="B230" s="326"/>
      <c r="C230" s="326"/>
      <c r="D230" s="326"/>
      <c r="E230" s="326"/>
      <c r="F230" s="326"/>
      <c r="G230" s="326"/>
      <c r="H230" s="60"/>
      <c r="I230" s="60"/>
      <c r="J230" s="60"/>
      <c r="K230" s="60"/>
      <c r="L230" s="90"/>
    </row>
    <row r="231" spans="1:12" ht="14.25" x14ac:dyDescent="0.2">
      <c r="A231" s="325" t="s">
        <v>97</v>
      </c>
      <c r="B231" s="326"/>
      <c r="C231" s="326"/>
      <c r="D231" s="326"/>
      <c r="E231" s="326"/>
      <c r="F231" s="326"/>
      <c r="G231" s="326"/>
      <c r="H231" s="60"/>
      <c r="I231" s="60"/>
      <c r="J231" s="60"/>
      <c r="K231" s="60"/>
      <c r="L231" s="90"/>
    </row>
    <row r="232" spans="1:12" ht="14.25" x14ac:dyDescent="0.2">
      <c r="A232" s="325" t="s">
        <v>141</v>
      </c>
      <c r="B232" s="326"/>
      <c r="C232" s="326"/>
      <c r="D232" s="326"/>
      <c r="E232" s="326"/>
      <c r="F232" s="326"/>
      <c r="G232" s="326"/>
      <c r="H232" s="60"/>
      <c r="I232" s="60"/>
      <c r="J232" s="60"/>
      <c r="K232" s="60"/>
      <c r="L232" s="90"/>
    </row>
    <row r="233" spans="1:12" ht="14.25" x14ac:dyDescent="0.2">
      <c r="A233" s="325" t="s">
        <v>139</v>
      </c>
      <c r="B233" s="326"/>
      <c r="C233" s="326"/>
      <c r="D233" s="326"/>
      <c r="E233" s="326"/>
      <c r="F233" s="326"/>
      <c r="G233" s="326"/>
      <c r="H233" s="60"/>
      <c r="I233" s="60"/>
      <c r="J233" s="60"/>
      <c r="K233" s="60"/>
      <c r="L233" s="90"/>
    </row>
    <row r="234" spans="1:12" ht="15" x14ac:dyDescent="0.25">
      <c r="A234" s="325" t="s">
        <v>138</v>
      </c>
      <c r="B234" s="326"/>
      <c r="C234" s="326"/>
      <c r="D234" s="326"/>
      <c r="E234" s="326"/>
      <c r="F234" s="326"/>
      <c r="G234" s="326"/>
      <c r="H234" s="60"/>
      <c r="I234" s="60"/>
      <c r="J234" s="60"/>
      <c r="K234" s="60"/>
      <c r="L234" s="90"/>
    </row>
    <row r="235" spans="1:12" ht="15" thickBot="1" x14ac:dyDescent="0.25">
      <c r="A235" s="147"/>
      <c r="B235" s="148"/>
      <c r="C235" s="148"/>
      <c r="D235" s="148"/>
      <c r="E235" s="148"/>
      <c r="F235" s="148"/>
      <c r="G235" s="148"/>
      <c r="H235" s="149"/>
      <c r="I235" s="149"/>
      <c r="J235" s="149"/>
      <c r="K235" s="149"/>
      <c r="L235" s="101"/>
    </row>
    <row r="236" spans="1:12" ht="14.25" x14ac:dyDescent="0.2">
      <c r="A236" s="174"/>
      <c r="B236" s="174"/>
      <c r="C236" s="174"/>
      <c r="D236" s="174"/>
      <c r="E236" s="174"/>
      <c r="F236" s="174"/>
      <c r="G236" s="174"/>
      <c r="H236" s="258"/>
      <c r="I236" s="258"/>
      <c r="J236" s="258"/>
      <c r="K236" s="258"/>
      <c r="L236" s="211"/>
    </row>
    <row r="237" spans="1:12" ht="14.25" x14ac:dyDescent="0.2">
      <c r="A237" s="174"/>
      <c r="B237" s="174"/>
      <c r="C237" s="174"/>
      <c r="D237" s="174"/>
      <c r="E237" s="174"/>
      <c r="F237" s="174"/>
      <c r="G237" s="174"/>
      <c r="H237" s="258"/>
      <c r="I237" s="258"/>
      <c r="J237" s="258"/>
      <c r="K237" s="258"/>
      <c r="L237" s="211"/>
    </row>
    <row r="238" spans="1:12" ht="14.25" x14ac:dyDescent="0.2">
      <c r="A238" s="174"/>
      <c r="B238" s="174"/>
      <c r="C238" s="174"/>
      <c r="D238" s="174"/>
      <c r="E238" s="174"/>
      <c r="F238" s="174"/>
      <c r="G238" s="174"/>
      <c r="H238" s="258"/>
      <c r="I238" s="258"/>
      <c r="J238" s="258"/>
      <c r="K238" s="258"/>
      <c r="L238" s="211"/>
    </row>
    <row r="239" spans="1:12" ht="14.25" x14ac:dyDescent="0.2">
      <c r="A239" s="174"/>
      <c r="B239" s="174"/>
      <c r="C239" s="174"/>
      <c r="D239" s="174"/>
      <c r="E239" s="174"/>
      <c r="F239" s="174"/>
      <c r="G239" s="174"/>
      <c r="H239" s="258"/>
      <c r="I239" s="258"/>
      <c r="J239" s="258"/>
      <c r="K239" s="258"/>
      <c r="L239" s="211"/>
    </row>
    <row r="240" spans="1:12" ht="14.25" x14ac:dyDescent="0.2">
      <c r="A240" s="174"/>
      <c r="B240" s="174"/>
      <c r="C240" s="174"/>
      <c r="D240" s="174"/>
      <c r="E240" s="174"/>
      <c r="F240" s="174"/>
      <c r="G240" s="174"/>
      <c r="H240" s="258"/>
      <c r="I240" s="258"/>
      <c r="J240" s="258"/>
      <c r="K240" s="258"/>
      <c r="L240" s="211"/>
    </row>
    <row r="241" spans="1:12" ht="14.25" x14ac:dyDescent="0.2">
      <c r="A241" s="174"/>
      <c r="B241" s="174"/>
      <c r="C241" s="174"/>
      <c r="D241" s="174"/>
      <c r="E241" s="174"/>
      <c r="F241" s="174"/>
      <c r="G241" s="174"/>
      <c r="H241" s="258"/>
      <c r="I241" s="258"/>
      <c r="J241" s="258"/>
      <c r="K241" s="258"/>
      <c r="L241" s="211"/>
    </row>
    <row r="242" spans="1:12" ht="15" thickBot="1" x14ac:dyDescent="0.25">
      <c r="A242" s="174"/>
      <c r="B242" s="174"/>
      <c r="C242" s="174"/>
      <c r="D242" s="174"/>
      <c r="E242" s="174"/>
      <c r="F242" s="174"/>
      <c r="G242" s="174"/>
      <c r="H242" s="258"/>
      <c r="I242" s="258"/>
      <c r="J242" s="258"/>
      <c r="K242" s="258"/>
      <c r="L242" s="211"/>
    </row>
    <row r="243" spans="1:12" ht="14.25" x14ac:dyDescent="0.2">
      <c r="A243" s="84" t="s">
        <v>150</v>
      </c>
      <c r="B243" s="289"/>
      <c r="C243" s="289"/>
      <c r="D243" s="289"/>
      <c r="E243" s="289"/>
      <c r="F243" s="289"/>
      <c r="G243" s="289"/>
      <c r="H243" s="290"/>
      <c r="I243" s="290"/>
      <c r="J243" s="290"/>
      <c r="K243" s="290"/>
      <c r="L243" s="87"/>
    </row>
    <row r="244" spans="1:12" ht="14.25" x14ac:dyDescent="0.2">
      <c r="A244" s="291"/>
      <c r="B244" s="135"/>
      <c r="C244" s="135"/>
      <c r="D244" s="135"/>
      <c r="E244" s="135"/>
      <c r="F244" s="135"/>
      <c r="G244" s="135"/>
      <c r="H244" s="60"/>
      <c r="I244" s="60"/>
      <c r="J244" s="60"/>
      <c r="K244" s="60"/>
      <c r="L244" s="90"/>
    </row>
    <row r="245" spans="1:12" ht="14.25" x14ac:dyDescent="0.2">
      <c r="A245" s="291"/>
      <c r="B245" s="135"/>
      <c r="C245" s="135"/>
      <c r="D245" s="135"/>
      <c r="E245" s="135"/>
      <c r="F245" s="135"/>
      <c r="G245" s="135"/>
      <c r="H245" s="60"/>
      <c r="I245" s="60"/>
      <c r="J245" s="60"/>
      <c r="K245" s="60"/>
      <c r="L245" s="90"/>
    </row>
    <row r="246" spans="1:12" ht="14.25" x14ac:dyDescent="0.2">
      <c r="A246" s="291"/>
      <c r="B246" s="135"/>
      <c r="C246" s="135"/>
      <c r="D246" s="135"/>
      <c r="E246" s="135"/>
      <c r="F246" s="135"/>
      <c r="G246" s="135"/>
      <c r="H246" s="60"/>
      <c r="I246" s="60"/>
      <c r="J246" s="60"/>
      <c r="K246" s="60"/>
      <c r="L246" s="90"/>
    </row>
    <row r="247" spans="1:12" ht="14.25" x14ac:dyDescent="0.2">
      <c r="A247" s="291"/>
      <c r="B247" s="135"/>
      <c r="C247" s="135"/>
      <c r="D247" s="135"/>
      <c r="E247" s="135"/>
      <c r="F247" s="135"/>
      <c r="G247" s="135"/>
      <c r="H247" s="60"/>
      <c r="I247" s="60"/>
      <c r="J247" s="60"/>
      <c r="K247" s="60"/>
      <c r="L247" s="90"/>
    </row>
    <row r="248" spans="1:12" ht="14.25" x14ac:dyDescent="0.2">
      <c r="A248" s="291"/>
      <c r="B248" s="135"/>
      <c r="C248" s="135"/>
      <c r="D248" s="135"/>
      <c r="E248" s="135"/>
      <c r="F248" s="135"/>
      <c r="G248" s="135"/>
      <c r="H248" s="60"/>
      <c r="I248" s="60"/>
      <c r="J248" s="60"/>
      <c r="K248" s="60"/>
      <c r="L248" s="90"/>
    </row>
    <row r="249" spans="1:12" ht="14.25" x14ac:dyDescent="0.2">
      <c r="A249" s="291"/>
      <c r="B249" s="135"/>
      <c r="C249" s="135"/>
      <c r="D249" s="135"/>
      <c r="E249" s="135"/>
      <c r="F249" s="135"/>
      <c r="G249" s="135"/>
      <c r="H249" s="60"/>
      <c r="I249" s="60"/>
      <c r="J249" s="60"/>
      <c r="K249" s="60"/>
      <c r="L249" s="90"/>
    </row>
    <row r="250" spans="1:12" ht="14.25" x14ac:dyDescent="0.2">
      <c r="A250" s="291"/>
      <c r="B250" s="135"/>
      <c r="C250" s="135"/>
      <c r="D250" s="135"/>
      <c r="E250" s="135"/>
      <c r="F250" s="135"/>
      <c r="G250" s="135"/>
      <c r="H250" s="60"/>
      <c r="I250" s="60"/>
      <c r="J250" s="60"/>
      <c r="K250" s="60"/>
      <c r="L250" s="90"/>
    </row>
    <row r="251" spans="1:12" ht="14.25" x14ac:dyDescent="0.2">
      <c r="A251" s="291"/>
      <c r="B251" s="135"/>
      <c r="C251" s="135"/>
      <c r="D251" s="135"/>
      <c r="E251" s="135"/>
      <c r="F251" s="135"/>
      <c r="G251" s="135"/>
      <c r="H251" s="60"/>
      <c r="I251" s="60"/>
      <c r="J251" s="60"/>
      <c r="K251" s="60"/>
      <c r="L251" s="90"/>
    </row>
    <row r="252" spans="1:12" ht="14.25" x14ac:dyDescent="0.2">
      <c r="A252" s="291"/>
      <c r="B252" s="135"/>
      <c r="C252" s="135"/>
      <c r="D252" s="135"/>
      <c r="E252" s="135"/>
      <c r="F252" s="135"/>
      <c r="G252" s="135"/>
      <c r="H252" s="60"/>
      <c r="I252" s="60"/>
      <c r="J252" s="60"/>
      <c r="K252" s="60"/>
      <c r="L252" s="90"/>
    </row>
    <row r="253" spans="1:12" ht="14.25" x14ac:dyDescent="0.2">
      <c r="A253" s="291"/>
      <c r="B253" s="135"/>
      <c r="C253" s="135"/>
      <c r="D253" s="135"/>
      <c r="E253" s="135"/>
      <c r="F253" s="135"/>
      <c r="G253" s="135"/>
      <c r="H253" s="60"/>
      <c r="I253" s="60"/>
      <c r="J253" s="60"/>
      <c r="K253" s="60"/>
      <c r="L253" s="90"/>
    </row>
    <row r="254" spans="1:12" ht="14.25" x14ac:dyDescent="0.2">
      <c r="A254" s="291"/>
      <c r="B254" s="135"/>
      <c r="C254" s="135"/>
      <c r="D254" s="135"/>
      <c r="E254" s="135"/>
      <c r="F254" s="135"/>
      <c r="G254" s="135"/>
      <c r="H254" s="60"/>
      <c r="I254" s="60"/>
      <c r="J254" s="60"/>
      <c r="K254" s="60"/>
      <c r="L254" s="90"/>
    </row>
    <row r="255" spans="1:12" ht="14.25" x14ac:dyDescent="0.2">
      <c r="A255" s="291"/>
      <c r="B255" s="135"/>
      <c r="C255" s="135"/>
      <c r="D255" s="135"/>
      <c r="E255" s="135"/>
      <c r="F255" s="135"/>
      <c r="G255" s="135"/>
      <c r="H255" s="60"/>
      <c r="I255" s="60"/>
      <c r="J255" s="60"/>
      <c r="K255" s="60"/>
      <c r="L255" s="90"/>
    </row>
    <row r="256" spans="1:12" ht="14.25" x14ac:dyDescent="0.2">
      <c r="A256" s="291"/>
      <c r="B256" s="135"/>
      <c r="C256" s="135"/>
      <c r="D256" s="135"/>
      <c r="E256" s="135"/>
      <c r="F256" s="135"/>
      <c r="G256" s="135"/>
      <c r="H256" s="60"/>
      <c r="I256" s="60"/>
      <c r="J256" s="60"/>
      <c r="K256" s="60"/>
      <c r="L256" s="90"/>
    </row>
    <row r="257" spans="1:14" ht="14.25" x14ac:dyDescent="0.2">
      <c r="A257" s="291"/>
      <c r="B257" s="135"/>
      <c r="C257" s="135"/>
      <c r="D257" s="135"/>
      <c r="E257" s="135"/>
      <c r="F257" s="135"/>
      <c r="G257" s="135"/>
      <c r="H257" s="60"/>
      <c r="I257" s="60"/>
      <c r="J257" s="60"/>
      <c r="K257" s="60"/>
      <c r="L257" s="90"/>
    </row>
    <row r="258" spans="1:14" ht="14.25" x14ac:dyDescent="0.2">
      <c r="A258" s="291"/>
      <c r="B258" s="135"/>
      <c r="C258" s="135"/>
      <c r="D258" s="135"/>
      <c r="E258" s="135"/>
      <c r="F258" s="135"/>
      <c r="G258" s="135"/>
      <c r="H258" s="60"/>
      <c r="I258" s="60"/>
      <c r="J258" s="60"/>
      <c r="K258" s="60"/>
      <c r="L258" s="90"/>
    </row>
    <row r="259" spans="1:14" ht="14.25" x14ac:dyDescent="0.2">
      <c r="A259" s="291"/>
      <c r="B259" s="135"/>
      <c r="C259" s="135"/>
      <c r="D259" s="135"/>
      <c r="E259" s="135"/>
      <c r="F259" s="135"/>
      <c r="G259" s="135"/>
      <c r="H259" s="60"/>
      <c r="I259" s="60"/>
      <c r="J259" s="60"/>
      <c r="K259" s="60"/>
      <c r="L259" s="90"/>
    </row>
    <row r="260" spans="1:14" ht="14.25" x14ac:dyDescent="0.2">
      <c r="A260" s="291"/>
      <c r="B260" s="135"/>
      <c r="C260" s="135"/>
      <c r="D260" s="135"/>
      <c r="E260" s="135"/>
      <c r="F260" s="135"/>
      <c r="G260" s="135"/>
      <c r="H260" s="60"/>
      <c r="I260" s="60"/>
      <c r="J260" s="60"/>
      <c r="K260" s="60"/>
      <c r="L260" s="90"/>
    </row>
    <row r="261" spans="1:14" ht="14.25" x14ac:dyDescent="0.2">
      <c r="A261" s="291"/>
      <c r="B261" s="135"/>
      <c r="C261" s="135"/>
      <c r="D261" s="135"/>
      <c r="E261" s="135"/>
      <c r="F261" s="135"/>
      <c r="G261" s="135"/>
      <c r="H261" s="60"/>
      <c r="I261" s="60"/>
      <c r="J261" s="60"/>
      <c r="K261" s="60"/>
      <c r="L261" s="90"/>
    </row>
    <row r="262" spans="1:14" ht="14.25" x14ac:dyDescent="0.2">
      <c r="A262" s="291"/>
      <c r="B262" s="135"/>
      <c r="C262" s="135"/>
      <c r="D262" s="135"/>
      <c r="E262" s="135"/>
      <c r="F262" s="135"/>
      <c r="G262" s="135"/>
      <c r="H262" s="60"/>
      <c r="I262" s="60"/>
      <c r="J262" s="60"/>
      <c r="K262" s="60"/>
      <c r="L262" s="90"/>
    </row>
    <row r="263" spans="1:14" ht="14.25" x14ac:dyDescent="0.2">
      <c r="A263" s="291"/>
      <c r="B263" s="135"/>
      <c r="C263" s="135"/>
      <c r="D263" s="135"/>
      <c r="E263" s="135"/>
      <c r="F263" s="135"/>
      <c r="G263" s="135"/>
      <c r="H263" s="60"/>
      <c r="I263" s="60"/>
      <c r="J263" s="60"/>
      <c r="K263" s="60"/>
      <c r="L263" s="90"/>
      <c r="N263" s="266"/>
    </row>
    <row r="264" spans="1:14" ht="14.25" x14ac:dyDescent="0.2">
      <c r="A264" s="291"/>
      <c r="B264" s="135"/>
      <c r="C264" s="135"/>
      <c r="D264" s="135"/>
      <c r="E264" s="135"/>
      <c r="F264" s="135"/>
      <c r="G264" s="135"/>
      <c r="H264" s="60"/>
      <c r="I264" s="60"/>
      <c r="J264" s="60"/>
      <c r="K264" s="60"/>
      <c r="L264" s="90"/>
    </row>
    <row r="265" spans="1:14" ht="14.25" x14ac:dyDescent="0.2">
      <c r="A265" s="291"/>
      <c r="B265" s="135"/>
      <c r="C265" s="135"/>
      <c r="D265" s="135"/>
      <c r="E265" s="135"/>
      <c r="F265" s="135"/>
      <c r="G265" s="135"/>
      <c r="H265" s="60"/>
      <c r="I265" s="60"/>
      <c r="J265" s="60"/>
      <c r="K265" s="60"/>
      <c r="L265" s="90"/>
    </row>
    <row r="266" spans="1:14" ht="14.25" x14ac:dyDescent="0.2">
      <c r="A266" s="291"/>
      <c r="B266" s="135"/>
      <c r="C266" s="135"/>
      <c r="D266" s="135"/>
      <c r="E266" s="135"/>
      <c r="F266" s="135"/>
      <c r="G266" s="135"/>
      <c r="H266" s="60"/>
      <c r="I266" s="60"/>
      <c r="J266" s="60"/>
      <c r="K266" s="60"/>
      <c r="L266" s="90"/>
    </row>
    <row r="267" spans="1:14" ht="14.25" x14ac:dyDescent="0.2">
      <c r="A267" s="291"/>
      <c r="B267" s="135"/>
      <c r="C267" s="135"/>
      <c r="D267" s="135"/>
      <c r="E267" s="135"/>
      <c r="F267" s="135"/>
      <c r="G267" s="135"/>
      <c r="H267" s="60"/>
      <c r="I267" s="60"/>
      <c r="J267" s="60"/>
      <c r="K267" s="60"/>
      <c r="L267" s="90"/>
    </row>
    <row r="268" spans="1:14" ht="15" thickBot="1" x14ac:dyDescent="0.25">
      <c r="A268" s="291"/>
      <c r="B268" s="135"/>
      <c r="C268" s="135"/>
      <c r="D268" s="135"/>
      <c r="E268" s="135"/>
      <c r="F268" s="135"/>
      <c r="G268" s="135"/>
      <c r="H268" s="60"/>
      <c r="I268" s="60"/>
      <c r="J268" s="60"/>
      <c r="K268" s="60"/>
      <c r="L268" s="90"/>
    </row>
    <row r="269" spans="1:14" ht="13.5" thickBot="1" x14ac:dyDescent="0.25">
      <c r="A269" s="335" t="s">
        <v>102</v>
      </c>
      <c r="B269" s="336"/>
      <c r="C269" s="336"/>
      <c r="D269" s="333" t="s">
        <v>58</v>
      </c>
      <c r="E269" s="334"/>
      <c r="F269" s="334"/>
      <c r="G269" s="334"/>
      <c r="H269" s="120"/>
      <c r="I269" s="120"/>
      <c r="J269" s="120"/>
      <c r="K269" s="121"/>
      <c r="L269" s="90"/>
    </row>
    <row r="270" spans="1:14" x14ac:dyDescent="0.2">
      <c r="A270" s="292"/>
      <c r="B270" s="293"/>
      <c r="C270" s="95"/>
      <c r="D270" s="480">
        <f>YEAR(C271)+1</f>
        <v>2011</v>
      </c>
      <c r="E270" s="481"/>
      <c r="F270" s="353">
        <f>D270+1</f>
        <v>2012</v>
      </c>
      <c r="G270" s="482"/>
      <c r="H270" s="486">
        <f>F270+1</f>
        <v>2013</v>
      </c>
      <c r="I270" s="481"/>
      <c r="J270" s="353">
        <f>H270+1</f>
        <v>2014</v>
      </c>
      <c r="K270" s="354"/>
      <c r="L270" s="90"/>
    </row>
    <row r="271" spans="1:14" x14ac:dyDescent="0.2">
      <c r="A271" s="146"/>
      <c r="B271" s="140"/>
      <c r="C271" s="294">
        <f>C$80</f>
        <v>40543</v>
      </c>
      <c r="D271" s="264">
        <f>DATE(YEAR(C271)+1,12,30)</f>
        <v>40907</v>
      </c>
      <c r="E271" s="260">
        <f>D271+1</f>
        <v>40908</v>
      </c>
      <c r="F271" s="262">
        <f>DATE(YEAR(E271)+1,12,30)</f>
        <v>41273</v>
      </c>
      <c r="G271" s="263">
        <f>F271+1</f>
        <v>41274</v>
      </c>
      <c r="H271" s="259">
        <f>DATE(YEAR(G271)+1,12,30)</f>
        <v>41638</v>
      </c>
      <c r="I271" s="260">
        <f>H271+1</f>
        <v>41639</v>
      </c>
      <c r="J271" s="262">
        <f>DATE(YEAR(I271)+1,12,30)</f>
        <v>42003</v>
      </c>
      <c r="K271" s="265">
        <f>J271+1</f>
        <v>42004</v>
      </c>
      <c r="L271" s="90"/>
    </row>
    <row r="272" spans="1:14" x14ac:dyDescent="0.2">
      <c r="A272" s="88"/>
      <c r="B272" s="95" t="s">
        <v>67</v>
      </c>
      <c r="C272" s="65">
        <f>C220</f>
        <v>9594.2857142856574</v>
      </c>
      <c r="D272" s="54">
        <f>D220</f>
        <v>10073.999999999936</v>
      </c>
      <c r="E272" s="73">
        <f>D272</f>
        <v>10073.999999999936</v>
      </c>
      <c r="F272" s="125">
        <f>F220</f>
        <v>10577.69999999993</v>
      </c>
      <c r="G272" s="126">
        <f>F272</f>
        <v>10577.69999999993</v>
      </c>
      <c r="H272" s="72">
        <f>H220</f>
        <v>11106.584999999865</v>
      </c>
      <c r="I272" s="73">
        <f>H272</f>
        <v>11106.584999999865</v>
      </c>
      <c r="J272" s="125">
        <f>J220</f>
        <v>11661.914249999849</v>
      </c>
      <c r="K272" s="176">
        <f>J272</f>
        <v>11661.914249999849</v>
      </c>
      <c r="L272" s="90"/>
    </row>
    <row r="273" spans="1:12" ht="15" x14ac:dyDescent="0.25">
      <c r="A273" s="88"/>
      <c r="B273" s="276" t="s">
        <v>146</v>
      </c>
      <c r="C273" s="69">
        <f t="shared" ref="C273:K273" si="26">C105</f>
        <v>0</v>
      </c>
      <c r="D273" s="56">
        <f t="shared" si="26"/>
        <v>671.60000000000036</v>
      </c>
      <c r="E273" s="77">
        <f t="shared" si="26"/>
        <v>0</v>
      </c>
      <c r="F273" s="129">
        <f t="shared" si="26"/>
        <v>705.18000000000029</v>
      </c>
      <c r="G273" s="130">
        <f t="shared" si="26"/>
        <v>0</v>
      </c>
      <c r="H273" s="76">
        <f t="shared" si="26"/>
        <v>740.43899999999849</v>
      </c>
      <c r="I273" s="77">
        <f t="shared" si="26"/>
        <v>0</v>
      </c>
      <c r="J273" s="129">
        <f t="shared" si="26"/>
        <v>777.46095000000059</v>
      </c>
      <c r="K273" s="178">
        <f t="shared" si="26"/>
        <v>0</v>
      </c>
      <c r="L273" s="90"/>
    </row>
    <row r="274" spans="1:12" x14ac:dyDescent="0.2">
      <c r="A274" s="88"/>
      <c r="B274" s="95" t="s">
        <v>103</v>
      </c>
      <c r="C274" s="65">
        <f>C272+C273</f>
        <v>9594.2857142856574</v>
      </c>
      <c r="D274" s="54">
        <f t="shared" ref="D274:K274" si="27">D272+D273</f>
        <v>10745.599999999937</v>
      </c>
      <c r="E274" s="73">
        <f t="shared" si="27"/>
        <v>10073.999999999936</v>
      </c>
      <c r="F274" s="125">
        <f t="shared" si="27"/>
        <v>11282.87999999993</v>
      </c>
      <c r="G274" s="126">
        <f t="shared" si="27"/>
        <v>10577.69999999993</v>
      </c>
      <c r="H274" s="72">
        <f t="shared" si="27"/>
        <v>11847.023999999863</v>
      </c>
      <c r="I274" s="73">
        <f t="shared" si="27"/>
        <v>11106.584999999865</v>
      </c>
      <c r="J274" s="125">
        <f t="shared" si="27"/>
        <v>12439.375199999849</v>
      </c>
      <c r="K274" s="176">
        <f t="shared" si="27"/>
        <v>11661.914249999849</v>
      </c>
      <c r="L274" s="90"/>
    </row>
    <row r="275" spans="1:12" ht="15" x14ac:dyDescent="0.25">
      <c r="A275" s="88"/>
      <c r="B275" s="277" t="s">
        <v>143</v>
      </c>
      <c r="C275" s="67">
        <f t="shared" ref="C275:K275" si="28">C114+C116</f>
        <v>0</v>
      </c>
      <c r="D275" s="55">
        <f t="shared" si="28"/>
        <v>0</v>
      </c>
      <c r="E275" s="75">
        <f t="shared" si="28"/>
        <v>0</v>
      </c>
      <c r="F275" s="127">
        <f t="shared" si="28"/>
        <v>0</v>
      </c>
      <c r="G275" s="128">
        <f t="shared" si="28"/>
        <v>0</v>
      </c>
      <c r="H275" s="74">
        <f t="shared" si="28"/>
        <v>0</v>
      </c>
      <c r="I275" s="75">
        <f t="shared" si="28"/>
        <v>0</v>
      </c>
      <c r="J275" s="127">
        <f t="shared" si="28"/>
        <v>0</v>
      </c>
      <c r="K275" s="177">
        <f t="shared" si="28"/>
        <v>0</v>
      </c>
      <c r="L275" s="90"/>
    </row>
    <row r="276" spans="1:12" ht="15" x14ac:dyDescent="0.25">
      <c r="A276" s="88"/>
      <c r="B276" s="278" t="s">
        <v>147</v>
      </c>
      <c r="C276" s="69">
        <f t="shared" ref="C276:K276" si="29">C118</f>
        <v>0</v>
      </c>
      <c r="D276" s="56">
        <f t="shared" si="29"/>
        <v>0</v>
      </c>
      <c r="E276" s="77">
        <f t="shared" si="29"/>
        <v>0</v>
      </c>
      <c r="F276" s="129">
        <f t="shared" si="29"/>
        <v>0</v>
      </c>
      <c r="G276" s="130">
        <f t="shared" si="29"/>
        <v>0</v>
      </c>
      <c r="H276" s="76">
        <f t="shared" si="29"/>
        <v>0</v>
      </c>
      <c r="I276" s="77">
        <f t="shared" si="29"/>
        <v>0</v>
      </c>
      <c r="J276" s="129">
        <f t="shared" si="29"/>
        <v>0</v>
      </c>
      <c r="K276" s="178">
        <f t="shared" si="29"/>
        <v>0</v>
      </c>
      <c r="L276" s="90"/>
    </row>
    <row r="277" spans="1:12" x14ac:dyDescent="0.2">
      <c r="A277" s="88"/>
      <c r="B277" s="95" t="s">
        <v>144</v>
      </c>
      <c r="C277" s="65">
        <f>C274-C275-C276</f>
        <v>9594.2857142856574</v>
      </c>
      <c r="D277" s="54">
        <f t="shared" ref="D277:K277" si="30">D274-D275-D276</f>
        <v>10745.599999999937</v>
      </c>
      <c r="E277" s="73">
        <f t="shared" si="30"/>
        <v>10073.999999999936</v>
      </c>
      <c r="F277" s="125">
        <f t="shared" si="30"/>
        <v>11282.87999999993</v>
      </c>
      <c r="G277" s="126">
        <f t="shared" si="30"/>
        <v>10577.69999999993</v>
      </c>
      <c r="H277" s="72">
        <f t="shared" si="30"/>
        <v>11847.023999999863</v>
      </c>
      <c r="I277" s="73">
        <f t="shared" si="30"/>
        <v>11106.584999999865</v>
      </c>
      <c r="J277" s="125">
        <f t="shared" si="30"/>
        <v>12439.375199999849</v>
      </c>
      <c r="K277" s="176">
        <f t="shared" si="30"/>
        <v>11661.914249999849</v>
      </c>
      <c r="L277" s="90"/>
    </row>
    <row r="278" spans="1:12" ht="15" x14ac:dyDescent="0.25">
      <c r="A278" s="88"/>
      <c r="B278" s="278" t="s">
        <v>145</v>
      </c>
      <c r="C278" s="205">
        <v>1000</v>
      </c>
      <c r="D278" s="206">
        <f>C278</f>
        <v>1000</v>
      </c>
      <c r="E278" s="207">
        <f t="shared" ref="E278:J278" si="31">D278</f>
        <v>1000</v>
      </c>
      <c r="F278" s="208">
        <f t="shared" si="31"/>
        <v>1000</v>
      </c>
      <c r="G278" s="209">
        <f>F278</f>
        <v>1000</v>
      </c>
      <c r="H278" s="261">
        <f t="shared" si="31"/>
        <v>1000</v>
      </c>
      <c r="I278" s="207">
        <f>H278</f>
        <v>1000</v>
      </c>
      <c r="J278" s="208">
        <f t="shared" si="31"/>
        <v>1000</v>
      </c>
      <c r="K278" s="210">
        <f>J278</f>
        <v>1000</v>
      </c>
      <c r="L278" s="90"/>
    </row>
    <row r="279" spans="1:12" ht="20.25" customHeight="1" x14ac:dyDescent="0.2">
      <c r="A279" s="295"/>
      <c r="B279" s="279" t="s">
        <v>152</v>
      </c>
      <c r="C279" s="271">
        <f t="shared" ref="C279:K279" si="32">C277/C278</f>
        <v>9.5942857142856575</v>
      </c>
      <c r="D279" s="281">
        <f t="shared" si="32"/>
        <v>10.745599999999937</v>
      </c>
      <c r="E279" s="282">
        <f t="shared" si="32"/>
        <v>10.073999999999936</v>
      </c>
      <c r="F279" s="283">
        <f t="shared" si="32"/>
        <v>11.282879999999929</v>
      </c>
      <c r="G279" s="284">
        <f t="shared" si="32"/>
        <v>10.577699999999929</v>
      </c>
      <c r="H279" s="285">
        <f t="shared" si="32"/>
        <v>11.847023999999863</v>
      </c>
      <c r="I279" s="282">
        <f t="shared" si="32"/>
        <v>11.106584999999864</v>
      </c>
      <c r="J279" s="283">
        <f t="shared" si="32"/>
        <v>12.43937519999985</v>
      </c>
      <c r="K279" s="286">
        <f t="shared" si="32"/>
        <v>11.66191424999985</v>
      </c>
      <c r="L279" s="90"/>
    </row>
    <row r="280" spans="1:12" ht="20.25" customHeight="1" thickBot="1" x14ac:dyDescent="0.25">
      <c r="A280" s="295"/>
      <c r="B280" s="279" t="s">
        <v>148</v>
      </c>
      <c r="C280" s="271"/>
      <c r="D280" s="272"/>
      <c r="E280" s="273">
        <f>D273/E278</f>
        <v>0.67160000000000042</v>
      </c>
      <c r="F280" s="287"/>
      <c r="G280" s="274">
        <f>F273/G278</f>
        <v>0.70518000000000025</v>
      </c>
      <c r="H280" s="288"/>
      <c r="I280" s="273">
        <f>H273/I278</f>
        <v>0.74043899999999852</v>
      </c>
      <c r="J280" s="287"/>
      <c r="K280" s="275">
        <f>J273/K278</f>
        <v>0.77746095000000059</v>
      </c>
      <c r="L280" s="90"/>
    </row>
    <row r="281" spans="1:12" ht="13.5" thickBot="1" x14ac:dyDescent="0.25">
      <c r="A281" s="296"/>
      <c r="B281" s="107"/>
      <c r="C281" s="107"/>
      <c r="D281" s="107"/>
      <c r="E281" s="107"/>
      <c r="F281" s="107"/>
      <c r="G281" s="107"/>
      <c r="H281" s="107"/>
      <c r="I281" s="107"/>
      <c r="J281" s="107"/>
      <c r="K281" s="107"/>
      <c r="L281" s="90"/>
    </row>
    <row r="282" spans="1:12" x14ac:dyDescent="0.2">
      <c r="A282" s="382" t="s">
        <v>142</v>
      </c>
      <c r="B282" s="383"/>
      <c r="C282" s="383"/>
      <c r="D282" s="329">
        <f>YEAR(C283)+1</f>
        <v>2011</v>
      </c>
      <c r="E282" s="330"/>
      <c r="F282" s="331">
        <f>D282+1</f>
        <v>2012</v>
      </c>
      <c r="G282" s="332"/>
      <c r="H282" s="337">
        <f>F282+1</f>
        <v>2013</v>
      </c>
      <c r="I282" s="330"/>
      <c r="J282" s="331">
        <f>H282+1</f>
        <v>2014</v>
      </c>
      <c r="K282" s="338"/>
      <c r="L282" s="90"/>
    </row>
    <row r="283" spans="1:12" x14ac:dyDescent="0.2">
      <c r="A283" s="146"/>
      <c r="B283" s="140"/>
      <c r="C283" s="294">
        <f>C$80</f>
        <v>40543</v>
      </c>
      <c r="D283" s="264">
        <f>DATE(YEAR(C283)+1,12,30)</f>
        <v>40907</v>
      </c>
      <c r="E283" s="260">
        <f>D283+1</f>
        <v>40908</v>
      </c>
      <c r="F283" s="262">
        <f>DATE(YEAR(E283)+1,12,30)</f>
        <v>41273</v>
      </c>
      <c r="G283" s="263">
        <f>F283+1</f>
        <v>41274</v>
      </c>
      <c r="H283" s="259">
        <f>DATE(YEAR(G283)+1,12,30)</f>
        <v>41638</v>
      </c>
      <c r="I283" s="260">
        <f>H283+1</f>
        <v>41639</v>
      </c>
      <c r="J283" s="262">
        <f>DATE(YEAR(I283)+1,12,30)</f>
        <v>42003</v>
      </c>
      <c r="K283" s="265">
        <f>J283+1</f>
        <v>42004</v>
      </c>
      <c r="L283" s="90"/>
    </row>
    <row r="284" spans="1:12" x14ac:dyDescent="0.2">
      <c r="A284" s="88"/>
      <c r="B284" s="95" t="s">
        <v>67</v>
      </c>
      <c r="C284" s="65">
        <f>C220</f>
        <v>9594.2857142856574</v>
      </c>
      <c r="D284" s="54">
        <f t="shared" ref="D284:J284" si="33">D220</f>
        <v>10073.999999999936</v>
      </c>
      <c r="E284" s="73">
        <f>D284</f>
        <v>10073.999999999936</v>
      </c>
      <c r="F284" s="125">
        <f t="shared" si="33"/>
        <v>10577.69999999993</v>
      </c>
      <c r="G284" s="126">
        <f>F284</f>
        <v>10577.69999999993</v>
      </c>
      <c r="H284" s="72">
        <f t="shared" si="33"/>
        <v>11106.584999999865</v>
      </c>
      <c r="I284" s="73">
        <f>H284</f>
        <v>11106.584999999865</v>
      </c>
      <c r="J284" s="125">
        <f t="shared" si="33"/>
        <v>11661.914249999849</v>
      </c>
      <c r="K284" s="176">
        <f>J284</f>
        <v>11661.914249999849</v>
      </c>
      <c r="L284" s="90"/>
    </row>
    <row r="285" spans="1:12" ht="15" x14ac:dyDescent="0.25">
      <c r="A285" s="88"/>
      <c r="B285" s="276" t="s">
        <v>146</v>
      </c>
      <c r="C285" s="69">
        <f t="shared" ref="C285:K285" si="34">C105</f>
        <v>0</v>
      </c>
      <c r="D285" s="56">
        <f t="shared" si="34"/>
        <v>671.60000000000036</v>
      </c>
      <c r="E285" s="77">
        <f t="shared" si="34"/>
        <v>0</v>
      </c>
      <c r="F285" s="129">
        <f t="shared" si="34"/>
        <v>705.18000000000029</v>
      </c>
      <c r="G285" s="130">
        <f t="shared" si="34"/>
        <v>0</v>
      </c>
      <c r="H285" s="76">
        <f t="shared" si="34"/>
        <v>740.43899999999849</v>
      </c>
      <c r="I285" s="77">
        <f t="shared" si="34"/>
        <v>0</v>
      </c>
      <c r="J285" s="129">
        <f t="shared" si="34"/>
        <v>777.46095000000059</v>
      </c>
      <c r="K285" s="178">
        <f t="shared" si="34"/>
        <v>0</v>
      </c>
      <c r="L285" s="90"/>
    </row>
    <row r="286" spans="1:12" x14ac:dyDescent="0.2">
      <c r="A286" s="88"/>
      <c r="B286" s="95" t="s">
        <v>103</v>
      </c>
      <c r="C286" s="65">
        <f>C284+C285</f>
        <v>9594.2857142856574</v>
      </c>
      <c r="D286" s="54">
        <f t="shared" ref="D286:K286" si="35">D284+D285</f>
        <v>10745.599999999937</v>
      </c>
      <c r="E286" s="73">
        <f t="shared" si="35"/>
        <v>10073.999999999936</v>
      </c>
      <c r="F286" s="125">
        <f t="shared" si="35"/>
        <v>11282.87999999993</v>
      </c>
      <c r="G286" s="126">
        <f t="shared" si="35"/>
        <v>10577.69999999993</v>
      </c>
      <c r="H286" s="72">
        <f t="shared" si="35"/>
        <v>11847.023999999863</v>
      </c>
      <c r="I286" s="73">
        <f t="shared" si="35"/>
        <v>11106.584999999865</v>
      </c>
      <c r="J286" s="125">
        <f t="shared" si="35"/>
        <v>12439.375199999849</v>
      </c>
      <c r="K286" s="176">
        <f t="shared" si="35"/>
        <v>11661.914249999849</v>
      </c>
      <c r="L286" s="90"/>
    </row>
    <row r="287" spans="1:12" ht="15" x14ac:dyDescent="0.25">
      <c r="A287" s="88"/>
      <c r="B287" s="277" t="s">
        <v>143</v>
      </c>
      <c r="C287" s="67">
        <f>C114+C116</f>
        <v>0</v>
      </c>
      <c r="D287" s="55">
        <f t="shared" ref="D287:K287" si="36">D114+D116</f>
        <v>0</v>
      </c>
      <c r="E287" s="75">
        <f t="shared" si="36"/>
        <v>0</v>
      </c>
      <c r="F287" s="127">
        <f t="shared" si="36"/>
        <v>0</v>
      </c>
      <c r="G287" s="128">
        <f t="shared" si="36"/>
        <v>0</v>
      </c>
      <c r="H287" s="74">
        <f t="shared" si="36"/>
        <v>0</v>
      </c>
      <c r="I287" s="75">
        <f t="shared" si="36"/>
        <v>0</v>
      </c>
      <c r="J287" s="127">
        <f t="shared" si="36"/>
        <v>0</v>
      </c>
      <c r="K287" s="177">
        <f t="shared" si="36"/>
        <v>0</v>
      </c>
      <c r="L287" s="90"/>
    </row>
    <row r="288" spans="1:12" ht="15" x14ac:dyDescent="0.25">
      <c r="A288" s="88"/>
      <c r="B288" s="278" t="s">
        <v>147</v>
      </c>
      <c r="C288" s="69">
        <f>C118</f>
        <v>0</v>
      </c>
      <c r="D288" s="56">
        <f t="shared" ref="D288:K288" si="37">D118</f>
        <v>0</v>
      </c>
      <c r="E288" s="77">
        <f t="shared" si="37"/>
        <v>0</v>
      </c>
      <c r="F288" s="129">
        <f t="shared" si="37"/>
        <v>0</v>
      </c>
      <c r="G288" s="130">
        <f t="shared" si="37"/>
        <v>0</v>
      </c>
      <c r="H288" s="76">
        <f t="shared" si="37"/>
        <v>0</v>
      </c>
      <c r="I288" s="77">
        <f t="shared" si="37"/>
        <v>0</v>
      </c>
      <c r="J288" s="129">
        <f t="shared" si="37"/>
        <v>0</v>
      </c>
      <c r="K288" s="178">
        <f t="shared" si="37"/>
        <v>0</v>
      </c>
      <c r="L288" s="90"/>
    </row>
    <row r="289" spans="1:12" x14ac:dyDescent="0.2">
      <c r="A289" s="88"/>
      <c r="B289" s="95" t="s">
        <v>144</v>
      </c>
      <c r="C289" s="65">
        <f>C286-C287-C288</f>
        <v>9594.2857142856574</v>
      </c>
      <c r="D289" s="54">
        <f t="shared" ref="D289:K289" si="38">D286-D287-D288</f>
        <v>10745.599999999937</v>
      </c>
      <c r="E289" s="73">
        <f t="shared" si="38"/>
        <v>10073.999999999936</v>
      </c>
      <c r="F289" s="125">
        <f t="shared" si="38"/>
        <v>11282.87999999993</v>
      </c>
      <c r="G289" s="126">
        <f t="shared" si="38"/>
        <v>10577.69999999993</v>
      </c>
      <c r="H289" s="72">
        <f t="shared" si="38"/>
        <v>11847.023999999863</v>
      </c>
      <c r="I289" s="73">
        <f t="shared" si="38"/>
        <v>11106.584999999865</v>
      </c>
      <c r="J289" s="125">
        <f t="shared" si="38"/>
        <v>12439.375199999849</v>
      </c>
      <c r="K289" s="176">
        <f t="shared" si="38"/>
        <v>11661.914249999849</v>
      </c>
      <c r="L289" s="90"/>
    </row>
    <row r="290" spans="1:12" ht="15" x14ac:dyDescent="0.25">
      <c r="A290" s="88"/>
      <c r="B290" s="278" t="s">
        <v>149</v>
      </c>
      <c r="C290" s="201">
        <f>C278</f>
        <v>1000</v>
      </c>
      <c r="D290" s="298">
        <f>C290</f>
        <v>1000</v>
      </c>
      <c r="E290" s="299">
        <f>D290-(D285/D291)</f>
        <v>937.49999999999955</v>
      </c>
      <c r="F290" s="300">
        <f>E290</f>
        <v>937.49999999999955</v>
      </c>
      <c r="G290" s="301">
        <f>F290-(F285/F291)</f>
        <v>878.9062499999992</v>
      </c>
      <c r="H290" s="302">
        <f>G290</f>
        <v>878.9062499999992</v>
      </c>
      <c r="I290" s="299">
        <f>H290-(H285/H291)</f>
        <v>823.97460937499875</v>
      </c>
      <c r="J290" s="300">
        <f>I290</f>
        <v>823.97460937499875</v>
      </c>
      <c r="K290" s="303">
        <f>J290-(J285/J291)</f>
        <v>772.47619628906068</v>
      </c>
      <c r="L290" s="90"/>
    </row>
    <row r="291" spans="1:12" ht="18.75" customHeight="1" thickBot="1" x14ac:dyDescent="0.25">
      <c r="A291" s="139"/>
      <c r="B291" s="280" t="s">
        <v>153</v>
      </c>
      <c r="C291" s="267">
        <f>C289/C290</f>
        <v>9.5942857142856575</v>
      </c>
      <c r="D291" s="268">
        <f>D289/D290</f>
        <v>10.745599999999937</v>
      </c>
      <c r="E291" s="202">
        <f t="shared" ref="E291:K291" si="39">E289/E290</f>
        <v>10.745599999999937</v>
      </c>
      <c r="F291" s="269">
        <f>F289/F290</f>
        <v>12.035071999999932</v>
      </c>
      <c r="G291" s="203">
        <f t="shared" si="39"/>
        <v>12.03507199999993</v>
      </c>
      <c r="H291" s="270">
        <f>H289/H290</f>
        <v>13.479280639999857</v>
      </c>
      <c r="I291" s="202">
        <f t="shared" si="39"/>
        <v>13.479280639999857</v>
      </c>
      <c r="J291" s="269">
        <f>J289/J290</f>
        <v>15.096794316799841</v>
      </c>
      <c r="K291" s="204">
        <f t="shared" si="39"/>
        <v>15.096794316799841</v>
      </c>
      <c r="L291" s="90"/>
    </row>
    <row r="292" spans="1:12" x14ac:dyDescent="0.2">
      <c r="A292" s="296"/>
      <c r="B292" s="107"/>
      <c r="C292" s="107"/>
      <c r="D292" s="107"/>
      <c r="E292" s="107"/>
      <c r="F292" s="107"/>
      <c r="G292" s="107"/>
      <c r="H292" s="107"/>
      <c r="I292" s="107"/>
      <c r="J292" s="107"/>
      <c r="K292" s="107"/>
      <c r="L292" s="90"/>
    </row>
    <row r="293" spans="1:12" x14ac:dyDescent="0.2">
      <c r="A293" s="296" t="s">
        <v>80</v>
      </c>
      <c r="B293" s="107"/>
      <c r="C293" s="107"/>
      <c r="D293" s="107"/>
      <c r="E293" s="107"/>
      <c r="F293" s="107"/>
      <c r="G293" s="107"/>
      <c r="H293" s="107"/>
      <c r="I293" s="107"/>
      <c r="J293" s="107"/>
      <c r="K293" s="107"/>
      <c r="L293" s="90"/>
    </row>
    <row r="294" spans="1:12" ht="14.25" x14ac:dyDescent="0.2">
      <c r="A294" s="327" t="s">
        <v>154</v>
      </c>
      <c r="B294" s="328"/>
      <c r="C294" s="328"/>
      <c r="D294" s="328"/>
      <c r="E294" s="328"/>
      <c r="F294" s="328"/>
      <c r="G294" s="328"/>
      <c r="H294" s="107"/>
      <c r="I294" s="107"/>
      <c r="J294" s="107"/>
      <c r="K294" s="107"/>
      <c r="L294" s="90"/>
    </row>
    <row r="295" spans="1:12" x14ac:dyDescent="0.2">
      <c r="A295" s="327" t="s">
        <v>151</v>
      </c>
      <c r="B295" s="328"/>
      <c r="C295" s="328"/>
      <c r="D295" s="328"/>
      <c r="E295" s="328"/>
      <c r="F295" s="328"/>
      <c r="G295" s="328"/>
      <c r="H295" s="107"/>
      <c r="I295" s="107"/>
      <c r="J295" s="107"/>
      <c r="K295" s="107"/>
      <c r="L295" s="90"/>
    </row>
    <row r="296" spans="1:12" x14ac:dyDescent="0.2">
      <c r="A296" s="327"/>
      <c r="B296" s="328"/>
      <c r="C296" s="328"/>
      <c r="D296" s="328"/>
      <c r="E296" s="328"/>
      <c r="F296" s="328"/>
      <c r="G296" s="328"/>
      <c r="H296" s="107"/>
      <c r="I296" s="107"/>
      <c r="J296" s="107"/>
      <c r="K296" s="107"/>
      <c r="L296" s="90"/>
    </row>
    <row r="297" spans="1:12" x14ac:dyDescent="0.2">
      <c r="A297" s="327"/>
      <c r="B297" s="328"/>
      <c r="C297" s="328"/>
      <c r="D297" s="328"/>
      <c r="E297" s="328"/>
      <c r="F297" s="328"/>
      <c r="G297" s="328"/>
      <c r="H297" s="107"/>
      <c r="I297" s="107"/>
      <c r="J297" s="107"/>
      <c r="K297" s="107"/>
      <c r="L297" s="90"/>
    </row>
    <row r="298" spans="1:12" ht="13.5" thickBot="1" x14ac:dyDescent="0.25">
      <c r="A298" s="297"/>
      <c r="B298" s="252"/>
      <c r="C298" s="252"/>
      <c r="D298" s="252"/>
      <c r="E298" s="252"/>
      <c r="F298" s="252"/>
      <c r="G298" s="252"/>
      <c r="H298" s="252"/>
      <c r="I298" s="252"/>
      <c r="J298" s="252"/>
      <c r="K298" s="252"/>
      <c r="L298" s="101"/>
    </row>
  </sheetData>
  <mergeCells count="234">
    <mergeCell ref="A75:I75"/>
    <mergeCell ref="D79:G79"/>
    <mergeCell ref="H182:I182"/>
    <mergeCell ref="D96:E96"/>
    <mergeCell ref="M219:Q220"/>
    <mergeCell ref="D207:E207"/>
    <mergeCell ref="A170:G171"/>
    <mergeCell ref="A130:G131"/>
    <mergeCell ref="A132:G133"/>
    <mergeCell ref="A137:G142"/>
    <mergeCell ref="A167:G169"/>
    <mergeCell ref="D183:E183"/>
    <mergeCell ref="F183:G183"/>
    <mergeCell ref="H219:I219"/>
    <mergeCell ref="J185:K185"/>
    <mergeCell ref="J95:K95"/>
    <mergeCell ref="J96:K96"/>
    <mergeCell ref="J97:K97"/>
    <mergeCell ref="J98:K98"/>
    <mergeCell ref="J89:K89"/>
    <mergeCell ref="D93:E93"/>
    <mergeCell ref="D94:E94"/>
    <mergeCell ref="D95:E95"/>
    <mergeCell ref="F99:G99"/>
    <mergeCell ref="A3:I3"/>
    <mergeCell ref="A22:I26"/>
    <mergeCell ref="A31:H33"/>
    <mergeCell ref="A18:I20"/>
    <mergeCell ref="A15:I16"/>
    <mergeCell ref="A282:C282"/>
    <mergeCell ref="A153:B153"/>
    <mergeCell ref="A155:B155"/>
    <mergeCell ref="A160:B160"/>
    <mergeCell ref="A161:B161"/>
    <mergeCell ref="A227:G227"/>
    <mergeCell ref="D270:E270"/>
    <mergeCell ref="F270:G270"/>
    <mergeCell ref="D182:E182"/>
    <mergeCell ref="F182:G182"/>
    <mergeCell ref="H270:I270"/>
    <mergeCell ref="A190:G190"/>
    <mergeCell ref="A191:G191"/>
    <mergeCell ref="F219:G219"/>
    <mergeCell ref="A202:B202"/>
    <mergeCell ref="A203:B203"/>
    <mergeCell ref="D206:E206"/>
    <mergeCell ref="D209:E209"/>
    <mergeCell ref="D210:E210"/>
    <mergeCell ref="A5:I5"/>
    <mergeCell ref="C7:E7"/>
    <mergeCell ref="C8:E8"/>
    <mergeCell ref="C9:E9"/>
    <mergeCell ref="C10:E10"/>
    <mergeCell ref="A55:H58"/>
    <mergeCell ref="H97:I97"/>
    <mergeCell ref="H98:I98"/>
    <mergeCell ref="H92:I92"/>
    <mergeCell ref="D84:E84"/>
    <mergeCell ref="D85:E85"/>
    <mergeCell ref="C11:E11"/>
    <mergeCell ref="C12:E12"/>
    <mergeCell ref="H95:I95"/>
    <mergeCell ref="H96:I96"/>
    <mergeCell ref="D87:E87"/>
    <mergeCell ref="D88:E88"/>
    <mergeCell ref="D90:E90"/>
    <mergeCell ref="D89:E89"/>
    <mergeCell ref="D80:E80"/>
    <mergeCell ref="D81:E81"/>
    <mergeCell ref="D82:E82"/>
    <mergeCell ref="D83:E83"/>
    <mergeCell ref="F80:G80"/>
    <mergeCell ref="F97:G97"/>
    <mergeCell ref="F98:G98"/>
    <mergeCell ref="D211:E211"/>
    <mergeCell ref="A164:G166"/>
    <mergeCell ref="D148:E148"/>
    <mergeCell ref="D205:E205"/>
    <mergeCell ref="D203:E203"/>
    <mergeCell ref="D204:E204"/>
    <mergeCell ref="D202:G202"/>
    <mergeCell ref="D97:E97"/>
    <mergeCell ref="D98:E98"/>
    <mergeCell ref="D99:E99"/>
    <mergeCell ref="D100:E100"/>
    <mergeCell ref="F100:G100"/>
    <mergeCell ref="A121:B121"/>
    <mergeCell ref="A122:B122"/>
    <mergeCell ref="A147:C147"/>
    <mergeCell ref="D86:E86"/>
    <mergeCell ref="H80:I80"/>
    <mergeCell ref="H81:I81"/>
    <mergeCell ref="H82:I82"/>
    <mergeCell ref="H83:I83"/>
    <mergeCell ref="J90:K90"/>
    <mergeCell ref="F148:G148"/>
    <mergeCell ref="D179:G179"/>
    <mergeCell ref="J92:K92"/>
    <mergeCell ref="J93:K93"/>
    <mergeCell ref="J94:K94"/>
    <mergeCell ref="H93:I93"/>
    <mergeCell ref="H94:I94"/>
    <mergeCell ref="H90:I90"/>
    <mergeCell ref="F90:G90"/>
    <mergeCell ref="F92:G92"/>
    <mergeCell ref="F93:G93"/>
    <mergeCell ref="F94:G94"/>
    <mergeCell ref="F95:G95"/>
    <mergeCell ref="H99:I99"/>
    <mergeCell ref="H100:I100"/>
    <mergeCell ref="F96:G96"/>
    <mergeCell ref="D147:G147"/>
    <mergeCell ref="D92:E92"/>
    <mergeCell ref="J84:K84"/>
    <mergeCell ref="J85:K85"/>
    <mergeCell ref="J80:K80"/>
    <mergeCell ref="J81:K81"/>
    <mergeCell ref="J82:K82"/>
    <mergeCell ref="J83:K83"/>
    <mergeCell ref="J86:K86"/>
    <mergeCell ref="F89:G89"/>
    <mergeCell ref="H84:I84"/>
    <mergeCell ref="H85:I85"/>
    <mergeCell ref="H86:I86"/>
    <mergeCell ref="H87:I87"/>
    <mergeCell ref="F84:G84"/>
    <mergeCell ref="F85:G85"/>
    <mergeCell ref="J87:K87"/>
    <mergeCell ref="J88:K88"/>
    <mergeCell ref="F87:G87"/>
    <mergeCell ref="F88:G88"/>
    <mergeCell ref="H88:I88"/>
    <mergeCell ref="H89:I89"/>
    <mergeCell ref="F81:G81"/>
    <mergeCell ref="F82:G82"/>
    <mergeCell ref="F83:G83"/>
    <mergeCell ref="F86:G86"/>
    <mergeCell ref="H184:I184"/>
    <mergeCell ref="J184:K184"/>
    <mergeCell ref="D184:E184"/>
    <mergeCell ref="H181:I181"/>
    <mergeCell ref="F181:G181"/>
    <mergeCell ref="F184:G184"/>
    <mergeCell ref="J181:K181"/>
    <mergeCell ref="H148:I148"/>
    <mergeCell ref="D181:E181"/>
    <mergeCell ref="J182:K182"/>
    <mergeCell ref="J99:K99"/>
    <mergeCell ref="J100:K100"/>
    <mergeCell ref="J183:K183"/>
    <mergeCell ref="J148:K148"/>
    <mergeCell ref="A188:G189"/>
    <mergeCell ref="A179:C179"/>
    <mergeCell ref="D208:E208"/>
    <mergeCell ref="J102:K102"/>
    <mergeCell ref="A117:B117"/>
    <mergeCell ref="A108:B108"/>
    <mergeCell ref="A110:B110"/>
    <mergeCell ref="A115:B115"/>
    <mergeCell ref="F206:G206"/>
    <mergeCell ref="H185:I185"/>
    <mergeCell ref="D102:E102"/>
    <mergeCell ref="F102:G102"/>
    <mergeCell ref="H102:I102"/>
    <mergeCell ref="H180:I180"/>
    <mergeCell ref="D185:E185"/>
    <mergeCell ref="F185:G185"/>
    <mergeCell ref="H183:I183"/>
    <mergeCell ref="A134:G136"/>
    <mergeCell ref="D180:E180"/>
    <mergeCell ref="J180:K180"/>
    <mergeCell ref="J207:K207"/>
    <mergeCell ref="F180:G180"/>
    <mergeCell ref="J208:K208"/>
    <mergeCell ref="J209:K209"/>
    <mergeCell ref="J210:K210"/>
    <mergeCell ref="J203:K203"/>
    <mergeCell ref="J204:K204"/>
    <mergeCell ref="J205:K205"/>
    <mergeCell ref="J206:K206"/>
    <mergeCell ref="F209:G209"/>
    <mergeCell ref="F210:G210"/>
    <mergeCell ref="H203:I203"/>
    <mergeCell ref="H204:I204"/>
    <mergeCell ref="H205:I205"/>
    <mergeCell ref="H206:I206"/>
    <mergeCell ref="H207:I207"/>
    <mergeCell ref="H208:I208"/>
    <mergeCell ref="H209:I209"/>
    <mergeCell ref="F207:G207"/>
    <mergeCell ref="F208:G208"/>
    <mergeCell ref="H210:I210"/>
    <mergeCell ref="F203:G203"/>
    <mergeCell ref="F204:G204"/>
    <mergeCell ref="F205:G205"/>
    <mergeCell ref="F214:G214"/>
    <mergeCell ref="A213:B213"/>
    <mergeCell ref="D214:E214"/>
    <mergeCell ref="D220:E220"/>
    <mergeCell ref="F220:G220"/>
    <mergeCell ref="A223:G223"/>
    <mergeCell ref="A224:G224"/>
    <mergeCell ref="F211:G211"/>
    <mergeCell ref="D215:E215"/>
    <mergeCell ref="D216:E216"/>
    <mergeCell ref="F215:G215"/>
    <mergeCell ref="F216:G216"/>
    <mergeCell ref="H282:I282"/>
    <mergeCell ref="J282:K282"/>
    <mergeCell ref="J211:K211"/>
    <mergeCell ref="J219:K219"/>
    <mergeCell ref="H220:I220"/>
    <mergeCell ref="J220:K220"/>
    <mergeCell ref="H214:I214"/>
    <mergeCell ref="H215:I215"/>
    <mergeCell ref="H216:I216"/>
    <mergeCell ref="J214:K214"/>
    <mergeCell ref="J215:K215"/>
    <mergeCell ref="J216:K216"/>
    <mergeCell ref="H211:I211"/>
    <mergeCell ref="J270:K270"/>
    <mergeCell ref="A231:G231"/>
    <mergeCell ref="A232:G232"/>
    <mergeCell ref="A295:G297"/>
    <mergeCell ref="A294:G294"/>
    <mergeCell ref="D282:E282"/>
    <mergeCell ref="F282:G282"/>
    <mergeCell ref="D269:G269"/>
    <mergeCell ref="A225:G226"/>
    <mergeCell ref="A269:C269"/>
    <mergeCell ref="A233:G233"/>
    <mergeCell ref="A234:G234"/>
    <mergeCell ref="A230:G230"/>
    <mergeCell ref="A228:G229"/>
  </mergeCells>
  <phoneticPr fontId="0" type="noConversion"/>
  <conditionalFormatting sqref="D113:K113 D81:K90">
    <cfRule type="expression" dxfId="1" priority="1" stopIfTrue="1">
      <formula>OR(MAX($D$127:$K$127)&gt;0)</formula>
    </cfRule>
  </conditionalFormatting>
  <conditionalFormatting sqref="D127:K127">
    <cfRule type="expression" dxfId="0" priority="2" stopIfTrue="1">
      <formula>OR(MAX($D$127:$K$127)&gt;0)</formula>
    </cfRule>
  </conditionalFormatting>
  <pageMargins left="0.75" right="0.75" top="1" bottom="1" header="0.5" footer="0.5"/>
  <pageSetup scale="98" orientation="portrait" r:id="rId1"/>
  <headerFooter alignWithMargins="0"/>
  <rowBreaks count="1" manualBreakCount="1">
    <brk id="2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0"/>
  <sheetViews>
    <sheetView workbookViewId="0">
      <selection activeCell="A10" sqref="A10"/>
    </sheetView>
  </sheetViews>
  <sheetFormatPr defaultRowHeight="12.75" x14ac:dyDescent="0.2"/>
  <sheetData>
    <row r="1" spans="1:8" x14ac:dyDescent="0.2">
      <c r="A1" t="s">
        <v>175</v>
      </c>
      <c r="B1" t="s">
        <v>176</v>
      </c>
    </row>
    <row r="3" spans="1:8" x14ac:dyDescent="0.2">
      <c r="A3" s="497" t="s">
        <v>177</v>
      </c>
      <c r="B3" s="497"/>
      <c r="C3" s="497"/>
      <c r="D3" s="497"/>
      <c r="E3" s="497"/>
      <c r="F3" s="497"/>
      <c r="G3" s="497"/>
      <c r="H3" s="497"/>
    </row>
    <row r="4" spans="1:8" x14ac:dyDescent="0.2">
      <c r="A4" s="497"/>
      <c r="B4" s="497"/>
      <c r="C4" s="497"/>
      <c r="D4" s="497"/>
      <c r="E4" s="497"/>
      <c r="F4" s="497"/>
      <c r="G4" s="497"/>
      <c r="H4" s="497"/>
    </row>
    <row r="5" spans="1:8" x14ac:dyDescent="0.2">
      <c r="A5" s="497"/>
      <c r="B5" s="497"/>
      <c r="C5" s="497"/>
      <c r="D5" s="497"/>
      <c r="E5" s="497"/>
      <c r="F5" s="497"/>
      <c r="G5" s="497"/>
      <c r="H5" s="497"/>
    </row>
    <row r="6" spans="1:8" x14ac:dyDescent="0.2">
      <c r="A6" s="497"/>
      <c r="B6" s="497"/>
      <c r="C6" s="497"/>
      <c r="D6" s="497"/>
      <c r="E6" s="497"/>
      <c r="F6" s="497"/>
      <c r="G6" s="497"/>
      <c r="H6" s="497"/>
    </row>
    <row r="8" spans="1:8" x14ac:dyDescent="0.2">
      <c r="A8" t="s">
        <v>190</v>
      </c>
    </row>
    <row r="10" spans="1:8" x14ac:dyDescent="0.2">
      <c r="A10" t="s">
        <v>191</v>
      </c>
    </row>
  </sheetData>
  <mergeCells count="1">
    <mergeCell ref="A3: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
  <sheetViews>
    <sheetView workbookViewId="0">
      <selection activeCell="A6" sqref="A6"/>
    </sheetView>
  </sheetViews>
  <sheetFormatPr defaultRowHeight="12.75" x14ac:dyDescent="0.2"/>
  <sheetData>
    <row r="1" spans="1:8" x14ac:dyDescent="0.2">
      <c r="A1" t="s">
        <v>178</v>
      </c>
      <c r="B1" s="324" t="s">
        <v>179</v>
      </c>
    </row>
    <row r="3" spans="1:8" ht="75" customHeight="1" x14ac:dyDescent="0.2">
      <c r="A3" s="498" t="s">
        <v>180</v>
      </c>
      <c r="B3" s="497"/>
      <c r="C3" s="497"/>
      <c r="D3" s="497"/>
      <c r="E3" s="497"/>
      <c r="F3" s="497"/>
      <c r="G3" s="497"/>
      <c r="H3" s="497"/>
    </row>
    <row r="5" spans="1:8" x14ac:dyDescent="0.2">
      <c r="A5" t="s">
        <v>192</v>
      </c>
    </row>
    <row r="6" spans="1:8" x14ac:dyDescent="0.2">
      <c r="A6" t="s">
        <v>193</v>
      </c>
    </row>
  </sheetData>
  <mergeCells count="1">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
  <sheetViews>
    <sheetView workbookViewId="0">
      <selection activeCell="A8" sqref="A8"/>
    </sheetView>
  </sheetViews>
  <sheetFormatPr defaultRowHeight="12.75" x14ac:dyDescent="0.2"/>
  <sheetData>
    <row r="1" spans="1:8" x14ac:dyDescent="0.2">
      <c r="A1" s="324" t="s">
        <v>182</v>
      </c>
      <c r="B1" s="324" t="s">
        <v>181</v>
      </c>
    </row>
    <row r="3" spans="1:8" x14ac:dyDescent="0.2">
      <c r="A3" s="498" t="s">
        <v>183</v>
      </c>
      <c r="B3" s="497"/>
      <c r="C3" s="497"/>
      <c r="D3" s="497"/>
      <c r="E3" s="497"/>
      <c r="F3" s="497"/>
      <c r="G3" s="497"/>
      <c r="H3" s="497"/>
    </row>
    <row r="4" spans="1:8" x14ac:dyDescent="0.2">
      <c r="A4" s="497"/>
      <c r="B4" s="497"/>
      <c r="C4" s="497"/>
      <c r="D4" s="497"/>
      <c r="E4" s="497"/>
      <c r="F4" s="497"/>
      <c r="G4" s="497"/>
      <c r="H4" s="497"/>
    </row>
    <row r="5" spans="1:8" x14ac:dyDescent="0.2">
      <c r="A5" s="497"/>
      <c r="B5" s="497"/>
      <c r="C5" s="497"/>
      <c r="D5" s="497"/>
      <c r="E5" s="497"/>
      <c r="F5" s="497"/>
      <c r="G5" s="497"/>
      <c r="H5" s="497"/>
    </row>
    <row r="6" spans="1:8" ht="42.75" customHeight="1" x14ac:dyDescent="0.2">
      <c r="A6" s="497"/>
      <c r="B6" s="497"/>
      <c r="C6" s="497"/>
      <c r="D6" s="497"/>
      <c r="E6" s="497"/>
      <c r="F6" s="497"/>
      <c r="G6" s="497"/>
      <c r="H6" s="497"/>
    </row>
    <row r="8" spans="1:8" x14ac:dyDescent="0.2">
      <c r="A8" t="s">
        <v>194</v>
      </c>
    </row>
  </sheetData>
  <mergeCells count="1">
    <mergeCell ref="A3: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0"/>
  <sheetViews>
    <sheetView workbookViewId="0">
      <selection activeCell="A10" sqref="A10"/>
    </sheetView>
  </sheetViews>
  <sheetFormatPr defaultRowHeight="12.75" x14ac:dyDescent="0.2"/>
  <sheetData>
    <row r="1" spans="1:8" x14ac:dyDescent="0.2">
      <c r="A1" s="324" t="s">
        <v>184</v>
      </c>
      <c r="B1" s="324" t="s">
        <v>185</v>
      </c>
    </row>
    <row r="3" spans="1:8" x14ac:dyDescent="0.2">
      <c r="A3" s="498" t="s">
        <v>186</v>
      </c>
      <c r="B3" s="497"/>
      <c r="C3" s="497"/>
      <c r="D3" s="497"/>
      <c r="E3" s="497"/>
      <c r="F3" s="497"/>
      <c r="G3" s="497"/>
      <c r="H3" s="497"/>
    </row>
    <row r="4" spans="1:8" x14ac:dyDescent="0.2">
      <c r="A4" s="497"/>
      <c r="B4" s="497"/>
      <c r="C4" s="497"/>
      <c r="D4" s="497"/>
      <c r="E4" s="497"/>
      <c r="F4" s="497"/>
      <c r="G4" s="497"/>
      <c r="H4" s="497"/>
    </row>
    <row r="5" spans="1:8" x14ac:dyDescent="0.2">
      <c r="A5" s="497"/>
      <c r="B5" s="497"/>
      <c r="C5" s="497"/>
      <c r="D5" s="497"/>
      <c r="E5" s="497"/>
      <c r="F5" s="497"/>
      <c r="G5" s="497"/>
      <c r="H5" s="497"/>
    </row>
    <row r="6" spans="1:8" x14ac:dyDescent="0.2">
      <c r="A6" s="497"/>
      <c r="B6" s="497"/>
      <c r="C6" s="497"/>
      <c r="D6" s="497"/>
      <c r="E6" s="497"/>
      <c r="F6" s="497"/>
      <c r="G6" s="497"/>
      <c r="H6" s="497"/>
    </row>
    <row r="8" spans="1:8" x14ac:dyDescent="0.2">
      <c r="A8" t="s">
        <v>195</v>
      </c>
    </row>
    <row r="10" spans="1:8" x14ac:dyDescent="0.2">
      <c r="A10" t="s">
        <v>196</v>
      </c>
    </row>
  </sheetData>
  <mergeCells count="1">
    <mergeCell ref="A3: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
  <sheetViews>
    <sheetView tabSelected="1" workbookViewId="0">
      <selection activeCell="A14" sqref="A14"/>
    </sheetView>
  </sheetViews>
  <sheetFormatPr defaultRowHeight="12.75" x14ac:dyDescent="0.2"/>
  <cols>
    <col min="8" max="8" width="21.83203125" customWidth="1"/>
  </cols>
  <sheetData>
    <row r="1" spans="1:8" x14ac:dyDescent="0.2">
      <c r="A1" s="324" t="s">
        <v>187</v>
      </c>
      <c r="B1" s="324" t="s">
        <v>188</v>
      </c>
    </row>
    <row r="3" spans="1:8" x14ac:dyDescent="0.2">
      <c r="A3" s="498" t="s">
        <v>189</v>
      </c>
      <c r="B3" s="497"/>
      <c r="C3" s="497"/>
      <c r="D3" s="497"/>
      <c r="E3" s="497"/>
      <c r="F3" s="497"/>
      <c r="G3" s="497"/>
      <c r="H3" s="497"/>
    </row>
    <row r="4" spans="1:8" x14ac:dyDescent="0.2">
      <c r="A4" s="497"/>
      <c r="B4" s="497"/>
      <c r="C4" s="497"/>
      <c r="D4" s="497"/>
      <c r="E4" s="497"/>
      <c r="F4" s="497"/>
      <c r="G4" s="497"/>
      <c r="H4" s="497"/>
    </row>
    <row r="5" spans="1:8" x14ac:dyDescent="0.2">
      <c r="A5" s="497"/>
      <c r="B5" s="497"/>
      <c r="C5" s="497"/>
      <c r="D5" s="497"/>
      <c r="E5" s="497"/>
      <c r="F5" s="497"/>
      <c r="G5" s="497"/>
      <c r="H5" s="497"/>
    </row>
    <row r="6" spans="1:8" x14ac:dyDescent="0.2">
      <c r="A6" s="497"/>
      <c r="B6" s="497"/>
      <c r="C6" s="497"/>
      <c r="D6" s="497"/>
      <c r="E6" s="497"/>
      <c r="F6" s="497"/>
      <c r="G6" s="497"/>
      <c r="H6" s="497"/>
    </row>
    <row r="9" spans="1:8" x14ac:dyDescent="0.2">
      <c r="A9" t="s">
        <v>197</v>
      </c>
    </row>
    <row r="11" spans="1:8" x14ac:dyDescent="0.2">
      <c r="A11" t="s">
        <v>198</v>
      </c>
    </row>
  </sheetData>
  <mergeCells count="1">
    <mergeCell ref="A3: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2.75" x14ac:dyDescent="0.2"/>
  <cols>
    <col min="1" max="1" width="20" customWidth="1"/>
    <col min="2" max="2" width="16.5" customWidth="1"/>
    <col min="3" max="3" width="18.33203125" customWidth="1"/>
  </cols>
  <sheetData>
    <row r="1" spans="1:8" ht="16.5" x14ac:dyDescent="0.25">
      <c r="A1" s="1" t="s">
        <v>38</v>
      </c>
    </row>
    <row r="2" spans="1:8" x14ac:dyDescent="0.2">
      <c r="A2" s="2" t="s">
        <v>15</v>
      </c>
    </row>
    <row r="4" spans="1:8" ht="46.5" customHeight="1" x14ac:dyDescent="0.2">
      <c r="A4" s="499" t="s">
        <v>39</v>
      </c>
      <c r="B4" s="499"/>
      <c r="C4" s="499"/>
      <c r="D4" s="499"/>
      <c r="E4" s="499"/>
      <c r="F4" s="499"/>
      <c r="G4" s="499"/>
      <c r="H4" s="499"/>
    </row>
    <row r="6" spans="1:8" x14ac:dyDescent="0.2">
      <c r="A6" s="3" t="s">
        <v>28</v>
      </c>
      <c r="C6" s="4">
        <v>2000000</v>
      </c>
      <c r="E6" s="4"/>
    </row>
    <row r="7" spans="1:8" x14ac:dyDescent="0.2">
      <c r="A7" s="3" t="s">
        <v>26</v>
      </c>
      <c r="C7" s="5">
        <v>0.65</v>
      </c>
      <c r="E7" s="5"/>
    </row>
    <row r="8" spans="1:8" x14ac:dyDescent="0.2">
      <c r="A8" s="3" t="s">
        <v>25</v>
      </c>
      <c r="C8" s="4">
        <v>1600000</v>
      </c>
      <c r="E8" s="4"/>
    </row>
    <row r="9" spans="1:8" x14ac:dyDescent="0.2">
      <c r="A9" s="3"/>
      <c r="B9" s="3"/>
      <c r="C9" s="3"/>
    </row>
    <row r="10" spans="1:8" x14ac:dyDescent="0.2">
      <c r="A10" s="3" t="s">
        <v>29</v>
      </c>
      <c r="B10" s="3"/>
      <c r="C10" s="6">
        <f>C8-(C6*C7)</f>
        <v>300000</v>
      </c>
    </row>
  </sheetData>
  <mergeCells count="1">
    <mergeCell ref="A4:H4"/>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RowHeight="12.75" x14ac:dyDescent="0.2"/>
  <cols>
    <col min="1" max="1" width="24.5" style="310" customWidth="1"/>
    <col min="2" max="2" width="20.83203125" style="310" customWidth="1"/>
    <col min="3" max="3" width="23.1640625" style="310" customWidth="1"/>
    <col min="4" max="4" width="25.6640625" style="310" customWidth="1"/>
    <col min="5" max="5" width="14.33203125" style="310" customWidth="1"/>
    <col min="6" max="16384" width="9.33203125" style="310"/>
  </cols>
  <sheetData>
    <row r="1" spans="1:8" ht="16.5" x14ac:dyDescent="0.25">
      <c r="A1" s="1" t="s">
        <v>40</v>
      </c>
    </row>
    <row r="2" spans="1:8" x14ac:dyDescent="0.2">
      <c r="A2" s="2" t="s">
        <v>15</v>
      </c>
    </row>
    <row r="4" spans="1:8" ht="85.5" customHeight="1" x14ac:dyDescent="0.2">
      <c r="A4" s="499" t="s">
        <v>164</v>
      </c>
      <c r="B4" s="499"/>
      <c r="C4" s="499"/>
      <c r="D4" s="499"/>
      <c r="E4" s="499"/>
      <c r="F4" s="499"/>
      <c r="G4" s="499"/>
      <c r="H4" s="499"/>
    </row>
    <row r="6" spans="1:8" x14ac:dyDescent="0.2">
      <c r="A6" s="3" t="s">
        <v>157</v>
      </c>
      <c r="C6" s="29">
        <v>2400000</v>
      </c>
    </row>
    <row r="7" spans="1:8" x14ac:dyDescent="0.2">
      <c r="A7" s="3" t="s">
        <v>158</v>
      </c>
      <c r="B7" s="3"/>
      <c r="C7" s="5">
        <v>0.05</v>
      </c>
    </row>
    <row r="8" spans="1:8" x14ac:dyDescent="0.2">
      <c r="A8" s="3" t="s">
        <v>82</v>
      </c>
      <c r="B8" s="3"/>
      <c r="C8" s="5">
        <v>0.14000000000000001</v>
      </c>
    </row>
    <row r="9" spans="1:8" ht="14.25" x14ac:dyDescent="0.25">
      <c r="A9" s="3" t="s">
        <v>156</v>
      </c>
      <c r="C9" s="7">
        <v>2000000</v>
      </c>
      <c r="E9" s="7"/>
    </row>
    <row r="10" spans="1:8" x14ac:dyDescent="0.2">
      <c r="A10" s="3" t="s">
        <v>161</v>
      </c>
      <c r="C10" s="4">
        <v>12000000</v>
      </c>
      <c r="E10" s="4"/>
    </row>
    <row r="11" spans="1:8" x14ac:dyDescent="0.2">
      <c r="A11" s="3"/>
      <c r="C11" s="4"/>
      <c r="E11" s="4"/>
    </row>
    <row r="12" spans="1:8" x14ac:dyDescent="0.2">
      <c r="A12" s="3"/>
      <c r="C12" s="4"/>
      <c r="E12" s="4"/>
    </row>
    <row r="13" spans="1:8" x14ac:dyDescent="0.2">
      <c r="A13" s="3"/>
      <c r="C13" s="4"/>
      <c r="E13" s="4"/>
    </row>
    <row r="14" spans="1:8" x14ac:dyDescent="0.2">
      <c r="A14" s="3"/>
      <c r="C14" s="4"/>
      <c r="E14" s="4"/>
    </row>
    <row r="15" spans="1:8" x14ac:dyDescent="0.2">
      <c r="A15" s="3"/>
      <c r="B15" s="3"/>
      <c r="C15" s="3" t="s">
        <v>159</v>
      </c>
      <c r="D15" s="3" t="s">
        <v>160</v>
      </c>
    </row>
    <row r="16" spans="1:8" x14ac:dyDescent="0.2">
      <c r="B16" s="311" t="s">
        <v>67</v>
      </c>
      <c r="C16" s="315">
        <f>(C6*(1+C7))/(C8-C7)</f>
        <v>27999999.999999996</v>
      </c>
      <c r="D16" s="315">
        <f>C16</f>
        <v>27999999.999999996</v>
      </c>
    </row>
    <row r="17" spans="2:4" ht="15" x14ac:dyDescent="0.25">
      <c r="B17" s="312" t="s">
        <v>146</v>
      </c>
      <c r="C17" s="316">
        <f>C10</f>
        <v>12000000</v>
      </c>
      <c r="D17" s="316">
        <v>0</v>
      </c>
    </row>
    <row r="18" spans="2:4" x14ac:dyDescent="0.2">
      <c r="B18" s="311" t="s">
        <v>103</v>
      </c>
      <c r="C18" s="315">
        <f>C16+C17</f>
        <v>40000000</v>
      </c>
      <c r="D18" s="315">
        <f>D16+D17</f>
        <v>27999999.999999996</v>
      </c>
    </row>
    <row r="19" spans="2:4" ht="15" x14ac:dyDescent="0.25">
      <c r="B19" s="313" t="s">
        <v>143</v>
      </c>
      <c r="C19" s="317">
        <v>0</v>
      </c>
      <c r="D19" s="317">
        <v>0</v>
      </c>
    </row>
    <row r="20" spans="2:4" ht="15" x14ac:dyDescent="0.25">
      <c r="B20" s="314" t="s">
        <v>147</v>
      </c>
      <c r="C20" s="316">
        <v>0</v>
      </c>
      <c r="D20" s="316">
        <v>0</v>
      </c>
    </row>
    <row r="21" spans="2:4" x14ac:dyDescent="0.2">
      <c r="B21" s="311" t="s">
        <v>144</v>
      </c>
      <c r="C21" s="315">
        <f>C18-C19-C20</f>
        <v>40000000</v>
      </c>
      <c r="D21" s="315">
        <f>D18-D19-D20</f>
        <v>27999999.999999996</v>
      </c>
    </row>
    <row r="22" spans="2:4" ht="15" x14ac:dyDescent="0.25">
      <c r="B22" s="314" t="s">
        <v>145</v>
      </c>
      <c r="C22" s="318">
        <f>C9</f>
        <v>2000000</v>
      </c>
      <c r="D22" s="318">
        <f>C22-(C17/C23)</f>
        <v>1400000</v>
      </c>
    </row>
    <row r="23" spans="2:4" ht="15" x14ac:dyDescent="0.2">
      <c r="B23" s="311" t="s">
        <v>162</v>
      </c>
      <c r="C23" s="319">
        <f>C21/C22</f>
        <v>20</v>
      </c>
      <c r="D23" s="319">
        <f>D21/D22</f>
        <v>19.999999999999996</v>
      </c>
    </row>
    <row r="25" spans="2:4" x14ac:dyDescent="0.2">
      <c r="B25" s="311" t="s">
        <v>163</v>
      </c>
      <c r="C25" s="318">
        <f>C17/C23</f>
        <v>600000</v>
      </c>
    </row>
  </sheetData>
  <mergeCells count="1">
    <mergeCell ref="A4:H4"/>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2.75" x14ac:dyDescent="0.2"/>
  <cols>
    <col min="1" max="1" width="22.5" customWidth="1"/>
    <col min="2" max="2" width="15.5" customWidth="1"/>
    <col min="3" max="3" width="20.6640625" customWidth="1"/>
  </cols>
  <sheetData>
    <row r="1" spans="1:8" ht="16.5" x14ac:dyDescent="0.25">
      <c r="A1" s="8" t="s">
        <v>41</v>
      </c>
      <c r="B1" s="9"/>
      <c r="C1" s="9"/>
      <c r="D1" s="9"/>
      <c r="E1" s="9"/>
      <c r="F1" s="9"/>
      <c r="G1" s="9"/>
      <c r="H1" s="9"/>
    </row>
    <row r="2" spans="1:8" x14ac:dyDescent="0.2">
      <c r="A2" s="10" t="s">
        <v>35</v>
      </c>
      <c r="B2" s="9"/>
      <c r="C2" s="9"/>
      <c r="D2" s="9"/>
      <c r="E2" s="9"/>
      <c r="F2" s="9"/>
      <c r="G2" s="9"/>
      <c r="H2" s="9"/>
    </row>
    <row r="3" spans="1:8" x14ac:dyDescent="0.2">
      <c r="A3" s="9"/>
      <c r="B3" s="9"/>
      <c r="C3" s="9"/>
      <c r="D3" s="9"/>
      <c r="E3" s="9"/>
      <c r="F3" s="9"/>
      <c r="G3" s="9"/>
      <c r="H3" s="9"/>
    </row>
    <row r="4" spans="1:8" ht="59.25" customHeight="1" x14ac:dyDescent="0.2">
      <c r="A4" s="500" t="s">
        <v>42</v>
      </c>
      <c r="B4" s="500"/>
      <c r="C4" s="500"/>
      <c r="D4" s="500"/>
      <c r="E4" s="500"/>
      <c r="F4" s="500"/>
      <c r="G4" s="500"/>
      <c r="H4" s="500"/>
    </row>
    <row r="5" spans="1:8" x14ac:dyDescent="0.2">
      <c r="A5" s="9"/>
      <c r="B5" s="9"/>
      <c r="C5" s="9"/>
      <c r="D5" s="9"/>
      <c r="E5" s="9"/>
      <c r="F5" s="9"/>
      <c r="G5" s="9"/>
      <c r="H5" s="9"/>
    </row>
    <row r="6" spans="1:8" x14ac:dyDescent="0.2">
      <c r="A6" s="11" t="s">
        <v>30</v>
      </c>
      <c r="B6" s="11"/>
      <c r="C6" s="18">
        <v>1000</v>
      </c>
      <c r="D6" s="9"/>
      <c r="E6" s="13"/>
      <c r="F6" s="9"/>
      <c r="G6" s="9"/>
      <c r="H6" s="9"/>
    </row>
    <row r="7" spans="1:8" x14ac:dyDescent="0.2">
      <c r="A7" s="11" t="s">
        <v>31</v>
      </c>
      <c r="B7" s="11"/>
      <c r="C7" s="19">
        <v>6</v>
      </c>
      <c r="D7" s="9"/>
      <c r="E7" s="12"/>
      <c r="F7" s="9"/>
      <c r="G7" s="9"/>
      <c r="H7" s="9"/>
    </row>
    <row r="8" spans="1:8" x14ac:dyDescent="0.2">
      <c r="A8" s="11" t="s">
        <v>32</v>
      </c>
      <c r="B8" s="11"/>
      <c r="C8" s="19">
        <v>3</v>
      </c>
      <c r="D8" s="9"/>
      <c r="E8" s="12"/>
      <c r="F8" s="9"/>
      <c r="G8" s="9"/>
      <c r="H8" s="9"/>
    </row>
    <row r="9" spans="1:8" x14ac:dyDescent="0.2">
      <c r="A9" s="11" t="s">
        <v>33</v>
      </c>
      <c r="B9" s="11"/>
      <c r="C9" s="19">
        <v>90</v>
      </c>
      <c r="D9" s="9"/>
      <c r="E9" s="12"/>
      <c r="F9" s="9"/>
      <c r="G9" s="9"/>
      <c r="H9" s="9"/>
    </row>
    <row r="10" spans="1:8" x14ac:dyDescent="0.2">
      <c r="A10" s="11" t="s">
        <v>36</v>
      </c>
      <c r="B10" s="11"/>
      <c r="C10" s="20">
        <v>3</v>
      </c>
      <c r="D10" s="9"/>
      <c r="E10" s="11"/>
      <c r="F10" s="9"/>
      <c r="G10" s="9"/>
      <c r="H10" s="9"/>
    </row>
    <row r="11" spans="1:8" ht="13.5" thickBot="1" x14ac:dyDescent="0.25">
      <c r="A11" s="11"/>
      <c r="B11" s="11"/>
      <c r="C11" s="11"/>
      <c r="D11" s="9"/>
      <c r="E11" s="9"/>
      <c r="F11" s="9"/>
      <c r="G11" s="9"/>
      <c r="H11" s="9"/>
    </row>
    <row r="12" spans="1:8" ht="13.5" thickBot="1" x14ac:dyDescent="0.25">
      <c r="A12" s="14" t="s">
        <v>30</v>
      </c>
      <c r="B12" s="14"/>
      <c r="C12" s="21">
        <f>C6*C10</f>
        <v>3000</v>
      </c>
      <c r="D12" s="9"/>
      <c r="E12" s="9"/>
      <c r="F12" s="9"/>
      <c r="G12" s="9"/>
      <c r="H12" s="9"/>
    </row>
    <row r="13" spans="1:8" ht="13.5" thickBot="1" x14ac:dyDescent="0.25">
      <c r="A13" s="14"/>
      <c r="B13" s="14"/>
      <c r="C13" s="15"/>
      <c r="D13" s="9"/>
      <c r="E13" s="9"/>
      <c r="F13" s="9"/>
      <c r="G13" s="9"/>
      <c r="H13" s="9"/>
    </row>
    <row r="14" spans="1:8" ht="13.5" thickBot="1" x14ac:dyDescent="0.25">
      <c r="A14" s="14" t="s">
        <v>31</v>
      </c>
      <c r="B14" s="14"/>
      <c r="C14" s="22">
        <f>C7/$C$10</f>
        <v>2</v>
      </c>
      <c r="D14" s="9"/>
      <c r="E14" s="9"/>
      <c r="F14" s="9"/>
      <c r="G14" s="9"/>
      <c r="H14" s="9"/>
    </row>
    <row r="15" spans="1:8" ht="13.5" thickBot="1" x14ac:dyDescent="0.25">
      <c r="A15" s="14"/>
      <c r="B15" s="14"/>
      <c r="C15" s="16"/>
      <c r="D15" s="9"/>
      <c r="E15" s="9"/>
      <c r="F15" s="9"/>
      <c r="G15" s="9"/>
      <c r="H15" s="9"/>
    </row>
    <row r="16" spans="1:8" ht="13.5" thickBot="1" x14ac:dyDescent="0.25">
      <c r="A16" s="14" t="s">
        <v>32</v>
      </c>
      <c r="B16" s="14"/>
      <c r="C16" s="22">
        <f>C8/C10</f>
        <v>1</v>
      </c>
      <c r="D16" s="9"/>
      <c r="E16" s="9"/>
      <c r="F16" s="9"/>
      <c r="G16" s="9"/>
      <c r="H16" s="9"/>
    </row>
    <row r="17" spans="1:8" ht="13.5" thickBot="1" x14ac:dyDescent="0.25">
      <c r="A17" s="14"/>
      <c r="B17" s="14"/>
      <c r="C17" s="17"/>
      <c r="D17" s="9"/>
      <c r="E17" s="9"/>
      <c r="F17" s="9"/>
      <c r="G17" s="9"/>
      <c r="H17" s="9"/>
    </row>
    <row r="18" spans="1:8" ht="13.5" thickBot="1" x14ac:dyDescent="0.25">
      <c r="A18" s="14" t="s">
        <v>34</v>
      </c>
      <c r="B18" s="14"/>
      <c r="C18" s="22">
        <f>C9/C10</f>
        <v>30</v>
      </c>
      <c r="D18" s="9"/>
      <c r="E18" s="9"/>
      <c r="F18" s="9"/>
      <c r="G18" s="9"/>
      <c r="H18" s="9"/>
    </row>
  </sheetData>
  <mergeCells count="1">
    <mergeCell ref="A4:H4"/>
  </mergeCells>
  <phoneticPr fontId="1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Chapter</vt:lpstr>
      <vt:lpstr>14.1</vt:lpstr>
      <vt:lpstr>14.2</vt:lpstr>
      <vt:lpstr>14.3</vt:lpstr>
      <vt:lpstr>14.4</vt:lpstr>
      <vt:lpstr>14.5</vt:lpstr>
      <vt:lpstr>14.7</vt:lpstr>
      <vt:lpstr>14.9</vt:lpstr>
      <vt:lpstr>14.13</vt:lpstr>
      <vt:lpstr>Chapter!Print_Area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Dividends, Tool Kit</dc:title>
  <dc:subject>Tool Kit</dc:subject>
  <dc:creator>Eugene Brigham and Mike Ehrhardt</dc:creator>
  <cp:lastModifiedBy>foxc</cp:lastModifiedBy>
  <cp:lastPrinted>2001-01-23T19:41:16Z</cp:lastPrinted>
  <dcterms:created xsi:type="dcterms:W3CDTF">1999-12-21T18:14:33Z</dcterms:created>
  <dcterms:modified xsi:type="dcterms:W3CDTF">2014-02-02T18:52:35Z</dcterms:modified>
</cp:coreProperties>
</file>