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mmon Size Balance Sheet" sheetId="1" r:id="rId1"/>
    <sheet name="Common Size Income Statement" sheetId="2" r:id="rId2"/>
    <sheet name="Ratio Analyses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6"/>
  <c r="M27"/>
  <c r="M28"/>
  <c r="M29"/>
  <c r="M30"/>
  <c r="M31"/>
  <c r="M32"/>
  <c r="M33"/>
  <c r="M4"/>
  <c r="L5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6"/>
  <c r="L27"/>
  <c r="L28"/>
  <c r="L29"/>
  <c r="L30"/>
  <c r="L31"/>
  <c r="L32"/>
  <c r="L33"/>
  <c r="L4"/>
  <c r="E9" i="2"/>
  <c r="E8"/>
  <c r="E7"/>
  <c r="E5"/>
  <c r="E4"/>
  <c r="D31" i="1"/>
  <c r="D30"/>
  <c r="D29"/>
  <c r="D28"/>
  <c r="D27"/>
  <c r="D26"/>
  <c r="D24"/>
  <c r="D23"/>
  <c r="D22"/>
  <c r="D21"/>
  <c r="D19"/>
  <c r="D18"/>
  <c r="C17"/>
  <c r="C18"/>
  <c r="C19"/>
  <c r="C21"/>
  <c r="C22"/>
  <c r="C23"/>
  <c r="C24"/>
  <c r="C26"/>
  <c r="C27"/>
  <c r="C28"/>
  <c r="C29"/>
  <c r="C30"/>
  <c r="C31"/>
  <c r="E31"/>
  <c r="E30"/>
  <c r="E29"/>
  <c r="E28"/>
  <c r="E27"/>
  <c r="E26"/>
  <c r="E24"/>
  <c r="E23"/>
  <c r="E22"/>
  <c r="E21"/>
  <c r="E20"/>
  <c r="E19"/>
  <c r="E18"/>
  <c r="E17"/>
  <c r="E14"/>
  <c r="E13"/>
  <c r="E11"/>
  <c r="E9"/>
  <c r="E8"/>
  <c r="E6"/>
  <c r="E5"/>
  <c r="E4"/>
  <c r="D11"/>
  <c r="D14"/>
  <c r="D13"/>
  <c r="D9"/>
  <c r="D8"/>
  <c r="D6"/>
  <c r="D5"/>
  <c r="D4"/>
  <c r="C13"/>
  <c r="C14"/>
  <c r="C11"/>
  <c r="C8"/>
  <c r="C9"/>
  <c r="C6"/>
  <c r="C5"/>
  <c r="C4"/>
</calcChain>
</file>

<file path=xl/sharedStrings.xml><?xml version="1.0" encoding="utf-8"?>
<sst xmlns="http://schemas.openxmlformats.org/spreadsheetml/2006/main" count="59" uniqueCount="51">
  <si>
    <t>Assets</t>
  </si>
  <si>
    <t>LUX</t>
  </si>
  <si>
    <t>BBBY</t>
  </si>
  <si>
    <t>COH</t>
  </si>
  <si>
    <t>BBY</t>
  </si>
  <si>
    <t>LINTA</t>
  </si>
  <si>
    <t xml:space="preserve">    Cash and cash equivelents</t>
  </si>
  <si>
    <t xml:space="preserve">    Inventories</t>
  </si>
  <si>
    <t xml:space="preserve">    Other current assets</t>
  </si>
  <si>
    <t>Total Current Assets</t>
  </si>
  <si>
    <t>Total Assets</t>
  </si>
  <si>
    <t>Liabilities &amp; Equity</t>
  </si>
  <si>
    <t xml:space="preserve">    Accounts Payable</t>
  </si>
  <si>
    <t>Total Current Liabilites</t>
  </si>
  <si>
    <t xml:space="preserve">    Common stock</t>
  </si>
  <si>
    <t xml:space="preserve">    Additional Paid-in Capital</t>
  </si>
  <si>
    <t xml:space="preserve">    Retained Earnings</t>
  </si>
  <si>
    <t xml:space="preserve">    Treasury Stock</t>
  </si>
  <si>
    <t>Total Liability and Shareholders Equity</t>
  </si>
  <si>
    <t>RadioShack               2012</t>
  </si>
  <si>
    <t>RadioShack               2011</t>
  </si>
  <si>
    <t>RadioShack               2010</t>
  </si>
  <si>
    <t>Peer Median                     2012</t>
  </si>
  <si>
    <t xml:space="preserve">    Short-term investments and receivables</t>
  </si>
  <si>
    <t xml:space="preserve">    Accrued expenses and other current liabilities</t>
  </si>
  <si>
    <t xml:space="preserve">    Goodwill, net</t>
  </si>
  <si>
    <t xml:space="preserve">    Other assets, net</t>
  </si>
  <si>
    <t xml:space="preserve">    Income taxes payable</t>
  </si>
  <si>
    <r>
      <t xml:space="preserve">    </t>
    </r>
    <r>
      <rPr>
        <sz val="12"/>
        <color theme="1"/>
        <rFont val="Times New Roman"/>
        <family val="1"/>
      </rPr>
      <t>Long-term debt, excluding current maturities</t>
    </r>
  </si>
  <si>
    <r>
      <t xml:space="preserve">    </t>
    </r>
    <r>
      <rPr>
        <sz val="12"/>
        <color theme="1"/>
        <rFont val="Times New Roman"/>
        <family val="1"/>
      </rPr>
      <t>Other non-current liabilities</t>
    </r>
  </si>
  <si>
    <t>Total Liabilities</t>
  </si>
  <si>
    <t>Stockholders Equity</t>
  </si>
  <si>
    <t>Revenue</t>
  </si>
  <si>
    <t xml:space="preserve">    Net Sales and operating revenues</t>
  </si>
  <si>
    <t xml:space="preserve">    Cost of goods sold</t>
  </si>
  <si>
    <t>Operating Expenses</t>
  </si>
  <si>
    <t xml:space="preserve">    Selling, general and administrative</t>
  </si>
  <si>
    <t xml:space="preserve">    Depreciation and amortization</t>
  </si>
  <si>
    <t xml:space="preserve">    Impairment</t>
  </si>
  <si>
    <t>Total operating expense</t>
  </si>
  <si>
    <t xml:space="preserve">LUX </t>
  </si>
  <si>
    <t xml:space="preserve">    Current portion of LT debt</t>
  </si>
  <si>
    <t xml:space="preserve">    Accumulated Comprehensive Income</t>
  </si>
  <si>
    <t>Non-controlling interest</t>
  </si>
  <si>
    <t>Median</t>
  </si>
  <si>
    <t xml:space="preserve">    Deferred Taxes</t>
  </si>
  <si>
    <t xml:space="preserve">    Property, plant and equipment</t>
  </si>
  <si>
    <t xml:space="preserve">    Accumulated depreciation</t>
  </si>
  <si>
    <t>Total Equity</t>
  </si>
  <si>
    <r>
      <t xml:space="preserve">    </t>
    </r>
    <r>
      <rPr>
        <sz val="12"/>
        <color theme="1"/>
        <rFont val="Times New Roman"/>
        <family val="1"/>
      </rPr>
      <t>Long-terms investments</t>
    </r>
  </si>
  <si>
    <t>Mean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</si>
</sst>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5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9" fontId="3" fillId="0" borderId="1" xfId="1" applyFont="1" applyBorder="1" applyAlignment="1">
      <alignment horizontal="left"/>
    </xf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164" fontId="3" fillId="0" borderId="7" xfId="1" applyNumberFormat="1" applyFont="1" applyBorder="1" applyAlignment="1">
      <alignment horizontal="left"/>
    </xf>
    <xf numFmtId="0" fontId="4" fillId="0" borderId="8" xfId="0" applyFont="1" applyBorder="1"/>
    <xf numFmtId="164" fontId="4" fillId="0" borderId="7" xfId="1" applyNumberFormat="1" applyFont="1" applyBorder="1" applyAlignment="1">
      <alignment horizontal="left"/>
    </xf>
    <xf numFmtId="0" fontId="5" fillId="0" borderId="8" xfId="0" applyFont="1" applyBorder="1"/>
    <xf numFmtId="10" fontId="5" fillId="0" borderId="7" xfId="0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164" fontId="5" fillId="0" borderId="7" xfId="1" applyNumberFormat="1" applyFont="1" applyBorder="1" applyAlignment="1">
      <alignment horizontal="left"/>
    </xf>
    <xf numFmtId="0" fontId="3" fillId="0" borderId="7" xfId="0" applyFont="1" applyBorder="1"/>
    <xf numFmtId="0" fontId="5" fillId="0" borderId="10" xfId="0" applyFont="1" applyBorder="1"/>
    <xf numFmtId="0" fontId="5" fillId="0" borderId="11" xfId="0" applyFont="1" applyBorder="1"/>
    <xf numFmtId="10" fontId="5" fillId="0" borderId="11" xfId="0" applyNumberFormat="1" applyFont="1" applyBorder="1" applyAlignment="1">
      <alignment horizontal="left"/>
    </xf>
    <xf numFmtId="10" fontId="5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13" xfId="0" applyFont="1" applyBorder="1"/>
    <xf numFmtId="164" fontId="4" fillId="0" borderId="14" xfId="1" applyNumberFormat="1" applyFont="1" applyBorder="1" applyAlignment="1">
      <alignment horizontal="left"/>
    </xf>
    <xf numFmtId="164" fontId="4" fillId="0" borderId="15" xfId="1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5" fillId="0" borderId="20" xfId="0" applyNumberFormat="1" applyFont="1" applyBorder="1" applyAlignment="1">
      <alignment horizontal="left"/>
    </xf>
    <xf numFmtId="3" fontId="3" fillId="0" borderId="18" xfId="0" applyNumberFormat="1" applyFont="1" applyBorder="1"/>
    <xf numFmtId="0" fontId="0" fillId="0" borderId="22" xfId="0" applyBorder="1" applyAlignment="1"/>
    <xf numFmtId="3" fontId="3" fillId="0" borderId="21" xfId="0" applyNumberFormat="1" applyFont="1" applyBorder="1"/>
    <xf numFmtId="0" fontId="4" fillId="0" borderId="0" xfId="0" applyFont="1" applyBorder="1" applyAlignment="1"/>
    <xf numFmtId="0" fontId="5" fillId="0" borderId="8" xfId="0" applyFont="1" applyBorder="1" applyAlignment="1"/>
    <xf numFmtId="0" fontId="0" fillId="0" borderId="2" xfId="0" applyFont="1" applyBorder="1" applyAlignment="1"/>
    <xf numFmtId="0" fontId="0" fillId="0" borderId="9" xfId="0" applyFont="1" applyBorder="1" applyAlignment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/>
    <xf numFmtId="0" fontId="0" fillId="0" borderId="2" xfId="0" applyBorder="1" applyAlignment="1"/>
    <xf numFmtId="0" fontId="0" fillId="0" borderId="9" xfId="0" applyBorder="1" applyAlignment="1"/>
    <xf numFmtId="0" fontId="1" fillId="0" borderId="2" xfId="0" applyFont="1" applyBorder="1" applyAlignment="1"/>
    <xf numFmtId="0" fontId="1" fillId="0" borderId="9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B1" workbookViewId="0">
      <selection activeCell="O9" sqref="O9"/>
    </sheetView>
  </sheetViews>
  <sheetFormatPr defaultRowHeight="15.75"/>
  <cols>
    <col min="1" max="1" width="42.140625" style="2" customWidth="1"/>
    <col min="2" max="2" width="17.140625" style="2" customWidth="1"/>
    <col min="3" max="3" width="15.42578125" style="19" customWidth="1"/>
    <col min="4" max="4" width="13.5703125" style="2" customWidth="1"/>
    <col min="5" max="5" width="12.85546875" style="2" customWidth="1"/>
    <col min="6" max="6" width="10.140625" style="3" customWidth="1"/>
    <col min="7" max="7" width="9.140625" style="3"/>
    <col min="8" max="8" width="11.7109375" style="3" customWidth="1"/>
    <col min="9" max="10" width="11.28515625" style="3" customWidth="1"/>
    <col min="11" max="11" width="12" style="2" customWidth="1"/>
    <col min="12" max="12" width="13.5703125" style="2" customWidth="1"/>
    <col min="13" max="13" width="10.7109375" style="2" customWidth="1"/>
    <col min="14" max="16384" width="9.140625" style="2"/>
  </cols>
  <sheetData>
    <row r="1" spans="1:13">
      <c r="A1" s="23"/>
      <c r="B1" s="67" t="s">
        <v>22</v>
      </c>
      <c r="C1" s="67" t="s">
        <v>19</v>
      </c>
      <c r="D1" s="67" t="s">
        <v>20</v>
      </c>
      <c r="E1" s="69" t="s">
        <v>21</v>
      </c>
    </row>
    <row r="2" spans="1:13" s="4" customFormat="1" ht="16.5" thickBot="1">
      <c r="A2" s="24"/>
      <c r="B2" s="68"/>
      <c r="C2" s="68"/>
      <c r="D2" s="68"/>
      <c r="E2" s="70"/>
      <c r="F2" s="5"/>
      <c r="G2" s="5"/>
      <c r="H2" s="5"/>
      <c r="I2" s="5"/>
      <c r="J2" s="5"/>
    </row>
    <row r="3" spans="1:13">
      <c r="A3" s="71" t="s">
        <v>0</v>
      </c>
      <c r="B3" s="72"/>
      <c r="C3" s="72"/>
      <c r="D3" s="72"/>
      <c r="E3" s="73"/>
      <c r="G3" s="53" t="s">
        <v>4</v>
      </c>
      <c r="H3" s="54" t="s">
        <v>2</v>
      </c>
      <c r="I3" s="54" t="s">
        <v>3</v>
      </c>
      <c r="J3" s="54" t="s">
        <v>40</v>
      </c>
      <c r="K3" s="54" t="s">
        <v>5</v>
      </c>
      <c r="L3" s="55" t="s">
        <v>50</v>
      </c>
      <c r="M3" s="55" t="s">
        <v>44</v>
      </c>
    </row>
    <row r="4" spans="1:13">
      <c r="A4" s="25" t="s">
        <v>6</v>
      </c>
      <c r="B4" s="22"/>
      <c r="C4" s="9">
        <f>ABS(535.7/2299.1)</f>
        <v>0.23300421904223395</v>
      </c>
      <c r="D4" s="9">
        <f>ABS(591.7/2175.1)</f>
        <v>0.27203346972552989</v>
      </c>
      <c r="E4" s="26">
        <f>ABS(569.4/2175.4)</f>
        <v>0.26174496644295298</v>
      </c>
      <c r="G4" s="46">
        <v>1826</v>
      </c>
      <c r="H4" s="40">
        <v>564971</v>
      </c>
      <c r="I4" s="40">
        <v>1062785</v>
      </c>
      <c r="J4" s="56">
        <v>1088.5</v>
      </c>
      <c r="K4" s="40">
        <v>2260</v>
      </c>
      <c r="L4" s="60">
        <f>AVERAGE(G4:K4)</f>
        <v>326586.09999999998</v>
      </c>
      <c r="M4" s="60">
        <f>MEDIAN(G4:K4)</f>
        <v>2260</v>
      </c>
    </row>
    <row r="5" spans="1:13">
      <c r="A5" s="25" t="s">
        <v>23</v>
      </c>
      <c r="B5" s="7"/>
      <c r="C5" s="9">
        <f>ABS(425.5/2299.1)</f>
        <v>0.18507241964246879</v>
      </c>
      <c r="D5" s="9">
        <f>ABS(360.6/2175.1)</f>
        <v>0.16578548112730451</v>
      </c>
      <c r="E5" s="26">
        <f>ABS(377.5/2175.4)</f>
        <v>0.17353130458766203</v>
      </c>
      <c r="G5" s="46">
        <v>2704</v>
      </c>
      <c r="H5" s="40">
        <v>449933</v>
      </c>
      <c r="I5" s="40">
        <v>247583</v>
      </c>
      <c r="J5" s="56">
        <v>1005.2</v>
      </c>
      <c r="K5" s="40">
        <v>1201</v>
      </c>
      <c r="L5" s="60">
        <f t="shared" ref="L5:L33" si="0">AVERAGE(G5:K5)</f>
        <v>140485.24</v>
      </c>
      <c r="M5" s="60">
        <f t="shared" ref="M5:M33" si="1">MEDIAN(G5:K5)</f>
        <v>2704</v>
      </c>
    </row>
    <row r="6" spans="1:13">
      <c r="A6" s="25" t="s">
        <v>7</v>
      </c>
      <c r="B6" s="7"/>
      <c r="C6" s="9">
        <f>ABS(908.3/2291.1)</f>
        <v>0.39644712147003625</v>
      </c>
      <c r="D6" s="9">
        <f>ABS(744.4/2175.1)</f>
        <v>0.34223713852236681</v>
      </c>
      <c r="E6" s="26">
        <f>ABS(723.7/2175.4)</f>
        <v>0.33267445067573781</v>
      </c>
      <c r="G6" s="46">
        <v>6571</v>
      </c>
      <c r="H6" s="40">
        <v>2466214</v>
      </c>
      <c r="I6" s="40">
        <v>524706</v>
      </c>
      <c r="J6" s="56">
        <v>1004.6</v>
      </c>
      <c r="K6" s="40">
        <v>1106</v>
      </c>
      <c r="L6" s="60">
        <f t="shared" si="0"/>
        <v>599920.32000000007</v>
      </c>
      <c r="M6" s="60">
        <f t="shared" si="1"/>
        <v>6571</v>
      </c>
    </row>
    <row r="7" spans="1:13">
      <c r="A7" s="25" t="s">
        <v>45</v>
      </c>
      <c r="B7" s="7"/>
      <c r="C7" s="9"/>
      <c r="D7" s="9"/>
      <c r="E7" s="26"/>
      <c r="G7" s="46"/>
      <c r="H7" s="40"/>
      <c r="I7" s="40">
        <v>37956</v>
      </c>
      <c r="J7" s="38"/>
      <c r="K7" s="38"/>
      <c r="L7" s="60">
        <f t="shared" si="0"/>
        <v>37956</v>
      </c>
      <c r="M7" s="60">
        <f t="shared" si="1"/>
        <v>37956</v>
      </c>
    </row>
    <row r="8" spans="1:13">
      <c r="A8" s="25" t="s">
        <v>8</v>
      </c>
      <c r="B8" s="9"/>
      <c r="C8" s="9">
        <f>ABS(85.4/2299.1)</f>
        <v>3.7144969770779877E-2</v>
      </c>
      <c r="D8" s="9">
        <f>ABS(116.1/2175.1)</f>
        <v>5.3376856236494873E-2</v>
      </c>
      <c r="E8" s="26">
        <f>ABS(108.1/2175.4)</f>
        <v>4.9692010664705334E-2</v>
      </c>
      <c r="G8" s="47">
        <v>946</v>
      </c>
      <c r="H8" s="40">
        <v>386637</v>
      </c>
      <c r="I8" s="40">
        <v>86799</v>
      </c>
      <c r="J8" s="38">
        <v>101.3</v>
      </c>
      <c r="K8" s="38">
        <v>291</v>
      </c>
      <c r="L8" s="60">
        <f t="shared" si="0"/>
        <v>94954.86</v>
      </c>
      <c r="M8" s="60">
        <f t="shared" si="1"/>
        <v>946</v>
      </c>
    </row>
    <row r="9" spans="1:13" s="12" customFormat="1">
      <c r="A9" s="27" t="s">
        <v>9</v>
      </c>
      <c r="B9" s="10"/>
      <c r="C9" s="10">
        <f>ABS(1981.9/2299.1)</f>
        <v>0.86203296942281771</v>
      </c>
      <c r="D9" s="10">
        <f>ABS(1812.8/2175.1)</f>
        <v>0.83343294561169601</v>
      </c>
      <c r="E9" s="28">
        <f>ABS(1778.7/2175.4)</f>
        <v>0.81764273237105822</v>
      </c>
      <c r="F9" s="11"/>
      <c r="G9" s="46">
        <v>12047</v>
      </c>
      <c r="H9" s="40">
        <v>3867485</v>
      </c>
      <c r="I9" s="40">
        <v>2070947</v>
      </c>
      <c r="J9" s="56">
        <v>3199.6</v>
      </c>
      <c r="K9" s="40">
        <v>5258</v>
      </c>
      <c r="L9" s="60">
        <f t="shared" si="0"/>
        <v>1191787.3199999998</v>
      </c>
      <c r="M9" s="60">
        <f t="shared" si="1"/>
        <v>12047</v>
      </c>
    </row>
    <row r="10" spans="1:13" s="12" customFormat="1">
      <c r="A10" s="27" t="s">
        <v>49</v>
      </c>
      <c r="B10" s="10"/>
      <c r="C10" s="10"/>
      <c r="D10" s="10"/>
      <c r="E10" s="28"/>
      <c r="F10" s="11"/>
      <c r="G10" s="47"/>
      <c r="H10" s="40">
        <v>77325</v>
      </c>
      <c r="I10" s="40">
        <v>197340</v>
      </c>
      <c r="J10" s="38">
        <v>98.2</v>
      </c>
      <c r="K10" s="40">
        <v>2670</v>
      </c>
      <c r="L10" s="60">
        <f t="shared" si="0"/>
        <v>69358.3</v>
      </c>
      <c r="M10" s="60">
        <f t="shared" si="1"/>
        <v>39997.5</v>
      </c>
    </row>
    <row r="11" spans="1:13">
      <c r="A11" s="25" t="s">
        <v>46</v>
      </c>
      <c r="B11" s="9"/>
      <c r="C11" s="9">
        <f>ABS(239/2291.1)</f>
        <v>0.1043167037667496</v>
      </c>
      <c r="D11" s="9">
        <f>SUM(270.2/2175.1)</f>
        <v>0.12422417360121374</v>
      </c>
      <c r="E11" s="26">
        <f>ABS(274.3/2175.4)</f>
        <v>0.12609175324078331</v>
      </c>
      <c r="G11" s="47"/>
      <c r="H11" s="40">
        <v>1466667</v>
      </c>
      <c r="I11" s="40">
        <v>694771</v>
      </c>
      <c r="J11" s="40">
        <v>1572</v>
      </c>
      <c r="K11" s="40">
        <v>3405</v>
      </c>
      <c r="L11" s="60">
        <f t="shared" si="0"/>
        <v>541603.75</v>
      </c>
      <c r="M11" s="60">
        <f t="shared" si="1"/>
        <v>349088</v>
      </c>
    </row>
    <row r="12" spans="1:13">
      <c r="A12" s="25" t="s">
        <v>47</v>
      </c>
      <c r="B12" s="22"/>
      <c r="C12" s="9"/>
      <c r="D12" s="9"/>
      <c r="E12" s="26"/>
      <c r="G12" s="47"/>
      <c r="H12" s="40"/>
      <c r="I12" s="40"/>
      <c r="J12" s="38"/>
      <c r="K12" s="40">
        <v>-935</v>
      </c>
      <c r="L12" s="60">
        <f t="shared" si="0"/>
        <v>-935</v>
      </c>
      <c r="M12" s="60">
        <f t="shared" si="1"/>
        <v>-935</v>
      </c>
    </row>
    <row r="13" spans="1:13">
      <c r="A13" s="25" t="s">
        <v>25</v>
      </c>
      <c r="B13" s="7"/>
      <c r="C13" s="9">
        <f>ABS(36.6/2291.1)</f>
        <v>1.5974859237920649E-2</v>
      </c>
      <c r="D13" s="9">
        <f>ABS(37/2175.1)</f>
        <v>1.7010712151165463E-2</v>
      </c>
      <c r="E13" s="26">
        <f>ABS(41.2/2175.4)</f>
        <v>1.8939045692746161E-2</v>
      </c>
      <c r="G13" s="47">
        <v>528</v>
      </c>
      <c r="H13" s="40">
        <v>483518</v>
      </c>
      <c r="I13" s="40">
        <v>345039</v>
      </c>
      <c r="J13" s="38"/>
      <c r="K13" s="40">
        <v>9556</v>
      </c>
      <c r="L13" s="60">
        <f t="shared" si="0"/>
        <v>209660.25</v>
      </c>
      <c r="M13" s="60">
        <f t="shared" si="1"/>
        <v>177297.5</v>
      </c>
    </row>
    <row r="14" spans="1:13">
      <c r="A14" s="25" t="s">
        <v>26</v>
      </c>
      <c r="B14" s="7"/>
      <c r="C14" s="9">
        <f>ABS(41.6/2299.1)</f>
        <v>1.8094036797007527E-2</v>
      </c>
      <c r="D14" s="9">
        <f>ABS(55.1/2175.1)</f>
        <v>2.5332168635924787E-2</v>
      </c>
      <c r="E14" s="26">
        <f>ABS(81.2/2175.4)</f>
        <v>3.732646869541234E-2</v>
      </c>
      <c r="G14" s="47"/>
      <c r="H14" s="40">
        <v>384957</v>
      </c>
      <c r="I14" s="40">
        <v>223800</v>
      </c>
      <c r="J14" s="56">
        <v>6036.6</v>
      </c>
      <c r="K14" s="40">
        <v>21416</v>
      </c>
      <c r="L14" s="60">
        <f t="shared" si="0"/>
        <v>159052.4</v>
      </c>
      <c r="M14" s="60">
        <f t="shared" si="1"/>
        <v>122608</v>
      </c>
    </row>
    <row r="15" spans="1:13" s="16" customFormat="1">
      <c r="A15" s="29" t="s">
        <v>10</v>
      </c>
      <c r="B15" s="20">
        <v>1</v>
      </c>
      <c r="C15" s="14">
        <v>1</v>
      </c>
      <c r="D15" s="14">
        <v>1</v>
      </c>
      <c r="E15" s="30">
        <v>1</v>
      </c>
      <c r="F15" s="15"/>
      <c r="G15" s="51">
        <v>16787</v>
      </c>
      <c r="H15" s="52">
        <v>6279954</v>
      </c>
      <c r="I15" s="52">
        <v>3531897</v>
      </c>
      <c r="J15" s="57">
        <v>10906.4</v>
      </c>
      <c r="K15" s="52">
        <v>26255</v>
      </c>
      <c r="L15" s="60">
        <f t="shared" si="0"/>
        <v>1973159.8800000001</v>
      </c>
      <c r="M15" s="60">
        <f t="shared" si="1"/>
        <v>26255</v>
      </c>
    </row>
    <row r="16" spans="1:13">
      <c r="A16" s="71" t="s">
        <v>11</v>
      </c>
      <c r="B16" s="72"/>
      <c r="C16" s="72"/>
      <c r="D16" s="72"/>
      <c r="E16" s="73"/>
      <c r="F16" s="63"/>
      <c r="G16" s="61"/>
      <c r="H16" s="1"/>
      <c r="I16" s="1"/>
      <c r="J16" s="1"/>
      <c r="K16" s="38"/>
      <c r="L16" s="60"/>
      <c r="M16" s="60"/>
    </row>
    <row r="17" spans="1:13">
      <c r="A17" s="25" t="s">
        <v>41</v>
      </c>
      <c r="B17" s="7"/>
      <c r="C17" s="9">
        <f>ABS(278.7/2299.1)</f>
        <v>0.12122134748379801</v>
      </c>
      <c r="D17" s="8"/>
      <c r="E17" s="26">
        <f>ABS(308/2175.4)</f>
        <v>0.14158315712052955</v>
      </c>
      <c r="G17" s="47">
        <v>547</v>
      </c>
      <c r="H17" s="38"/>
      <c r="I17" s="38">
        <v>500</v>
      </c>
      <c r="J17" s="38">
        <v>527.79999999999995</v>
      </c>
      <c r="K17" s="40">
        <v>1638</v>
      </c>
      <c r="L17" s="60">
        <f t="shared" si="0"/>
        <v>803.2</v>
      </c>
      <c r="M17" s="60">
        <f t="shared" si="1"/>
        <v>537.4</v>
      </c>
    </row>
    <row r="18" spans="1:13">
      <c r="A18" s="25" t="s">
        <v>12</v>
      </c>
      <c r="B18" s="7"/>
      <c r="C18" s="9">
        <f>ABS(435.6/2299.1)</f>
        <v>0.18946544299943457</v>
      </c>
      <c r="D18" s="9">
        <f>ABS(348.2/2175.1)</f>
        <v>0.16008459381177878</v>
      </c>
      <c r="E18" s="26">
        <f>ABS(272.4/2175.4)</f>
        <v>0.12521835064815665</v>
      </c>
      <c r="G18" s="46">
        <v>6951</v>
      </c>
      <c r="H18" s="40">
        <v>913365</v>
      </c>
      <c r="I18" s="40">
        <v>178857</v>
      </c>
      <c r="J18" s="38">
        <v>899.9</v>
      </c>
      <c r="K18" s="38">
        <v>719</v>
      </c>
      <c r="L18" s="60">
        <f t="shared" si="0"/>
        <v>220158.37999999998</v>
      </c>
      <c r="M18" s="60">
        <f t="shared" si="1"/>
        <v>6951</v>
      </c>
    </row>
    <row r="19" spans="1:13">
      <c r="A19" s="25" t="s">
        <v>24</v>
      </c>
      <c r="B19" s="7"/>
      <c r="C19" s="9">
        <f>ABS(263.9/2291.1)</f>
        <v>0.11518484570730217</v>
      </c>
      <c r="D19" s="9">
        <f>ABS(287.9/2175.1)</f>
        <v>0.13236173049514965</v>
      </c>
      <c r="E19" s="26">
        <f>ABS(318/2175.4)</f>
        <v>0.14618001287119609</v>
      </c>
      <c r="G19" s="46">
        <v>3183</v>
      </c>
      <c r="H19" s="40">
        <v>644575</v>
      </c>
      <c r="I19" s="40">
        <v>543153</v>
      </c>
      <c r="J19" s="38">
        <v>846.7</v>
      </c>
      <c r="K19" s="40">
        <v>1220</v>
      </c>
      <c r="L19" s="60">
        <f t="shared" si="0"/>
        <v>238595.53999999998</v>
      </c>
      <c r="M19" s="60">
        <f t="shared" si="1"/>
        <v>3183</v>
      </c>
    </row>
    <row r="20" spans="1:13">
      <c r="A20" s="25" t="s">
        <v>27</v>
      </c>
      <c r="B20" s="7"/>
      <c r="C20" s="31"/>
      <c r="D20" s="9"/>
      <c r="E20" s="26">
        <f>ABS(9.7/2175.4)</f>
        <v>4.4589500781465471E-3</v>
      </c>
      <c r="G20" s="47">
        <v>129</v>
      </c>
      <c r="H20" s="40">
        <v>77270</v>
      </c>
      <c r="I20" s="38"/>
      <c r="J20" s="38">
        <v>87.5</v>
      </c>
      <c r="K20" s="38">
        <v>912</v>
      </c>
      <c r="L20" s="60">
        <f t="shared" si="0"/>
        <v>19599.625</v>
      </c>
      <c r="M20" s="60">
        <f t="shared" si="1"/>
        <v>520.5</v>
      </c>
    </row>
    <row r="21" spans="1:13" s="12" customFormat="1">
      <c r="A21" s="29" t="s">
        <v>13</v>
      </c>
      <c r="B21" s="18"/>
      <c r="C21" s="21">
        <f>ABS(978.2/2291.1)</f>
        <v>0.42695648378508144</v>
      </c>
      <c r="D21" s="21">
        <f>ABS(636.1/2175.1)</f>
        <v>0.29244632430692846</v>
      </c>
      <c r="E21" s="32">
        <f>ABS(908.1/2175.4)</f>
        <v>0.41744047071802887</v>
      </c>
      <c r="F21" s="11"/>
      <c r="G21" s="48">
        <v>10810</v>
      </c>
      <c r="H21" s="41">
        <v>1635210</v>
      </c>
      <c r="I21" s="41">
        <v>722510</v>
      </c>
      <c r="J21" s="58">
        <v>2379.6999999999998</v>
      </c>
      <c r="K21" s="41">
        <v>4489</v>
      </c>
      <c r="L21" s="60">
        <f t="shared" si="0"/>
        <v>475079.74000000005</v>
      </c>
      <c r="M21" s="60">
        <f t="shared" si="1"/>
        <v>10810</v>
      </c>
    </row>
    <row r="22" spans="1:13" s="12" customFormat="1">
      <c r="A22" s="27" t="s">
        <v>28</v>
      </c>
      <c r="B22" s="7"/>
      <c r="C22" s="9">
        <f>ABS(499/2291.1)</f>
        <v>0.21779931037492908</v>
      </c>
      <c r="D22" s="9">
        <f>ABS(670.6/2175.1)</f>
        <v>0.30830766401544757</v>
      </c>
      <c r="E22" s="26">
        <f>ABS(331.8/2175.4)</f>
        <v>0.15252367380711593</v>
      </c>
      <c r="F22" s="11"/>
      <c r="G22" s="46">
        <v>1153</v>
      </c>
      <c r="H22" s="38"/>
      <c r="I22" s="38">
        <v>485</v>
      </c>
      <c r="J22" s="56">
        <v>2705.5</v>
      </c>
      <c r="K22" s="40">
        <v>6246</v>
      </c>
      <c r="L22" s="60">
        <f t="shared" si="0"/>
        <v>2647.375</v>
      </c>
      <c r="M22" s="60">
        <f t="shared" si="1"/>
        <v>1929.25</v>
      </c>
    </row>
    <row r="23" spans="1:13" s="12" customFormat="1">
      <c r="A23" s="27" t="s">
        <v>29</v>
      </c>
      <c r="B23" s="17"/>
      <c r="C23" s="9">
        <f>ABS(223.2/2291.1)</f>
        <v>9.74204530574833E-2</v>
      </c>
      <c r="D23" s="9">
        <f>ABS(115.1/2175.1)</f>
        <v>5.2917107259436345E-2</v>
      </c>
      <c r="E23" s="26">
        <f>ABS(93/2175.4)</f>
        <v>4.2750758481198858E-2</v>
      </c>
      <c r="F23" s="11"/>
      <c r="G23" s="46">
        <v>1109</v>
      </c>
      <c r="H23" s="40">
        <v>565012</v>
      </c>
      <c r="I23" s="40">
        <v>399744</v>
      </c>
      <c r="J23" s="38">
        <v>556.6</v>
      </c>
      <c r="K23" s="40">
        <v>3469</v>
      </c>
      <c r="L23" s="60">
        <f t="shared" si="0"/>
        <v>193978.12</v>
      </c>
      <c r="M23" s="60">
        <f t="shared" si="1"/>
        <v>3469</v>
      </c>
    </row>
    <row r="24" spans="1:13" s="12" customFormat="1">
      <c r="A24" s="29" t="s">
        <v>30</v>
      </c>
      <c r="B24" s="18"/>
      <c r="C24" s="21">
        <f>ABS(1700.4/2291.1)</f>
        <v>0.74217624721749387</v>
      </c>
      <c r="D24" s="21">
        <f>ABS(1421.8/2175.1)</f>
        <v>0.65367109558181236</v>
      </c>
      <c r="E24" s="32">
        <f>ABS(1332.9/2175.4)</f>
        <v>0.61271490300634368</v>
      </c>
      <c r="F24" s="11"/>
      <c r="G24" s="48">
        <v>13072</v>
      </c>
      <c r="H24" s="41">
        <v>2200222</v>
      </c>
      <c r="I24" s="41">
        <v>1122739</v>
      </c>
      <c r="J24" s="58">
        <v>5641.7</v>
      </c>
      <c r="K24" s="41">
        <v>14204</v>
      </c>
      <c r="L24" s="60">
        <f t="shared" si="0"/>
        <v>671175.74</v>
      </c>
      <c r="M24" s="60">
        <f t="shared" si="1"/>
        <v>14204</v>
      </c>
    </row>
    <row r="25" spans="1:13" s="12" customFormat="1">
      <c r="A25" s="64" t="s">
        <v>31</v>
      </c>
      <c r="B25" s="65"/>
      <c r="C25" s="65"/>
      <c r="D25" s="65"/>
      <c r="E25" s="66"/>
      <c r="F25" s="11"/>
      <c r="G25" s="47"/>
      <c r="H25" s="38"/>
      <c r="I25" s="38"/>
      <c r="J25" s="38"/>
      <c r="K25" s="39"/>
      <c r="L25" s="60"/>
      <c r="M25" s="60"/>
    </row>
    <row r="26" spans="1:13">
      <c r="A26" s="25" t="s">
        <v>14</v>
      </c>
      <c r="B26" s="7"/>
      <c r="C26" s="9">
        <f>ABS(146/2299.1)</f>
        <v>6.350310991257449E-2</v>
      </c>
      <c r="D26" s="9">
        <f>ABS(146/2175.1)</f>
        <v>6.7123350650544811E-2</v>
      </c>
      <c r="E26" s="26">
        <f>ABS(146/2175.4)</f>
        <v>6.7114093959731544E-2</v>
      </c>
      <c r="G26" s="47">
        <v>34</v>
      </c>
      <c r="H26" s="40">
        <v>3327</v>
      </c>
      <c r="I26" s="40">
        <v>2819</v>
      </c>
      <c r="J26" s="40">
        <v>5249</v>
      </c>
      <c r="K26" s="40">
        <v>7562</v>
      </c>
      <c r="L26" s="60">
        <f t="shared" si="0"/>
        <v>3798.2</v>
      </c>
      <c r="M26" s="60">
        <f t="shared" si="1"/>
        <v>3327</v>
      </c>
    </row>
    <row r="27" spans="1:13">
      <c r="A27" s="25" t="s">
        <v>15</v>
      </c>
      <c r="B27" s="7"/>
      <c r="C27" s="9">
        <f>ABS(133.3/2291.1)</f>
        <v>5.818165946488587E-2</v>
      </c>
      <c r="D27" s="9">
        <f>ABS(137.1/2175.1)</f>
        <v>6.3031584754723924E-2</v>
      </c>
      <c r="E27" s="26">
        <f>ABS(147.3/2175.4)</f>
        <v>6.7711685207318198E-2</v>
      </c>
      <c r="G27" s="47">
        <v>54</v>
      </c>
      <c r="H27" s="40">
        <v>1540451</v>
      </c>
      <c r="I27" s="40">
        <v>2520469</v>
      </c>
      <c r="J27" s="38"/>
      <c r="K27" s="40">
        <v>2225</v>
      </c>
      <c r="L27" s="60">
        <f t="shared" si="0"/>
        <v>1015799.75</v>
      </c>
      <c r="M27" s="60">
        <f t="shared" si="1"/>
        <v>771338</v>
      </c>
    </row>
    <row r="28" spans="1:13">
      <c r="A28" s="25" t="s">
        <v>16</v>
      </c>
      <c r="B28" s="7"/>
      <c r="C28" s="9">
        <f>ABS(1360.8/2291.1)</f>
        <v>0.59395050412465633</v>
      </c>
      <c r="D28" s="9">
        <f>ABS(1525.1/2175.1)</f>
        <v>0.70116316491195807</v>
      </c>
      <c r="E28" s="26">
        <f>ABS(1502.5/2175.4)</f>
        <v>0.69067757653764827</v>
      </c>
      <c r="G28" s="46">
        <v>2861</v>
      </c>
      <c r="H28" s="40">
        <v>7573612</v>
      </c>
      <c r="I28" s="38"/>
      <c r="J28" s="38"/>
      <c r="K28" s="40">
        <v>5184</v>
      </c>
      <c r="L28" s="60">
        <f t="shared" si="0"/>
        <v>2527219</v>
      </c>
      <c r="M28" s="60">
        <f t="shared" si="1"/>
        <v>5184</v>
      </c>
    </row>
    <row r="29" spans="1:13">
      <c r="A29" s="25" t="s">
        <v>17</v>
      </c>
      <c r="B29" s="7"/>
      <c r="C29" s="9">
        <f>ABS(-1033.9/2291.1)</f>
        <v>0.45126794989306451</v>
      </c>
      <c r="D29" s="9">
        <f>ABS(-1043/2175.1)</f>
        <v>0.47951818307204269</v>
      </c>
      <c r="E29" s="26">
        <f>ABS(-949/2175.4)</f>
        <v>0.43624161073825501</v>
      </c>
      <c r="G29" s="47"/>
      <c r="H29" s="40">
        <v>-5033340</v>
      </c>
      <c r="I29" s="38"/>
      <c r="J29" s="38"/>
      <c r="K29" s="38"/>
      <c r="L29" s="60">
        <f t="shared" si="0"/>
        <v>-5033340</v>
      </c>
      <c r="M29" s="60">
        <f t="shared" si="1"/>
        <v>-5033340</v>
      </c>
    </row>
    <row r="30" spans="1:13">
      <c r="A30" s="25" t="s">
        <v>42</v>
      </c>
      <c r="B30" s="7"/>
      <c r="C30" s="9">
        <f>ABS(-7.5/2291.1)</f>
        <v>3.2735367290821003E-3</v>
      </c>
      <c r="D30" s="9">
        <f>ABS(-11.9/2175.1)</f>
        <v>5.47101282699646E-3</v>
      </c>
      <c r="E30" s="26">
        <f>ABS(-4.3/2175.4)</f>
        <v>1.9766479727866136E-3</v>
      </c>
      <c r="G30" s="47">
        <v>112</v>
      </c>
      <c r="H30" s="40">
        <v>-4320</v>
      </c>
      <c r="I30" s="40">
        <v>-141130</v>
      </c>
      <c r="J30" s="38"/>
      <c r="K30" s="38">
        <v>148</v>
      </c>
      <c r="L30" s="60">
        <f t="shared" si="0"/>
        <v>-36297.5</v>
      </c>
      <c r="M30" s="60">
        <f t="shared" si="1"/>
        <v>-2104</v>
      </c>
    </row>
    <row r="31" spans="1:13" s="12" customFormat="1">
      <c r="A31" s="27" t="s">
        <v>48</v>
      </c>
      <c r="B31" s="17"/>
      <c r="C31" s="10">
        <f>ABS(598.7/2291.1)</f>
        <v>0.26131552529352714</v>
      </c>
      <c r="D31" s="10">
        <f>ABS(753.3/2175.1)</f>
        <v>0.34632890441818764</v>
      </c>
      <c r="E31" s="28">
        <f>ABS(842.5/2175.4)</f>
        <v>0.38728509699365632</v>
      </c>
      <c r="F31" s="11"/>
      <c r="G31" s="48">
        <v>3061</v>
      </c>
      <c r="H31" s="41">
        <v>4079730</v>
      </c>
      <c r="I31" s="41">
        <v>2409158</v>
      </c>
      <c r="J31" s="41">
        <v>5249</v>
      </c>
      <c r="K31" s="41">
        <v>12051</v>
      </c>
      <c r="L31" s="60">
        <f t="shared" si="0"/>
        <v>1301849.8</v>
      </c>
      <c r="M31" s="60">
        <f t="shared" si="1"/>
        <v>12051</v>
      </c>
    </row>
    <row r="32" spans="1:13" s="12" customFormat="1">
      <c r="A32" s="42" t="s">
        <v>43</v>
      </c>
      <c r="B32" s="45"/>
      <c r="C32" s="43"/>
      <c r="D32" s="43"/>
      <c r="E32" s="44"/>
      <c r="F32" s="11"/>
      <c r="G32" s="46">
        <v>654</v>
      </c>
      <c r="H32" s="40"/>
      <c r="I32" s="38"/>
      <c r="J32" s="38"/>
      <c r="K32" s="40">
        <v>4489</v>
      </c>
      <c r="L32" s="60">
        <f t="shared" si="0"/>
        <v>2571.5</v>
      </c>
      <c r="M32" s="60">
        <f t="shared" si="1"/>
        <v>2571.5</v>
      </c>
    </row>
    <row r="33" spans="1:13" s="16" customFormat="1" ht="16.5" thickBot="1">
      <c r="A33" s="34" t="s">
        <v>18</v>
      </c>
      <c r="B33" s="36">
        <v>1</v>
      </c>
      <c r="C33" s="36">
        <v>1</v>
      </c>
      <c r="D33" s="36">
        <v>1</v>
      </c>
      <c r="E33" s="37">
        <v>1</v>
      </c>
      <c r="F33" s="15"/>
      <c r="G33" s="49">
        <v>16787</v>
      </c>
      <c r="H33" s="50">
        <v>6279952</v>
      </c>
      <c r="I33" s="50">
        <v>3531897</v>
      </c>
      <c r="J33" s="59">
        <v>10906.4</v>
      </c>
      <c r="K33" s="50">
        <v>26255</v>
      </c>
      <c r="L33" s="62">
        <f t="shared" si="0"/>
        <v>1973159.48</v>
      </c>
      <c r="M33" s="60">
        <f t="shared" si="1"/>
        <v>26255</v>
      </c>
    </row>
  </sheetData>
  <mergeCells count="7">
    <mergeCell ref="A25:E25"/>
    <mergeCell ref="C1:C2"/>
    <mergeCell ref="D1:D2"/>
    <mergeCell ref="E1:E2"/>
    <mergeCell ref="B1:B2"/>
    <mergeCell ref="A3:E3"/>
    <mergeCell ref="A16:E16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24" sqref="A24"/>
    </sheetView>
  </sheetViews>
  <sheetFormatPr defaultRowHeight="15.75"/>
  <cols>
    <col min="1" max="1" width="42.140625" style="2" customWidth="1"/>
    <col min="2" max="2" width="17.140625" style="2" customWidth="1"/>
    <col min="3" max="3" width="15.42578125" style="19" customWidth="1"/>
    <col min="4" max="4" width="13.5703125" style="2" customWidth="1"/>
    <col min="5" max="5" width="12.85546875" style="2" customWidth="1"/>
    <col min="6" max="6" width="9.140625" style="3"/>
    <col min="7" max="7" width="10.28515625" style="3" customWidth="1"/>
    <col min="8" max="10" width="9.140625" style="3"/>
    <col min="11" max="16384" width="9.140625" style="2"/>
  </cols>
  <sheetData>
    <row r="1" spans="1:11">
      <c r="A1" s="23"/>
      <c r="B1" s="67" t="s">
        <v>22</v>
      </c>
      <c r="C1" s="67" t="s">
        <v>19</v>
      </c>
      <c r="D1" s="67" t="s">
        <v>20</v>
      </c>
      <c r="E1" s="69" t="s">
        <v>21</v>
      </c>
    </row>
    <row r="2" spans="1:11" s="4" customFormat="1">
      <c r="A2" s="24"/>
      <c r="B2" s="68"/>
      <c r="C2" s="68"/>
      <c r="D2" s="68"/>
      <c r="E2" s="70"/>
      <c r="F2" s="5"/>
      <c r="G2" s="5"/>
      <c r="H2" s="5"/>
      <c r="I2" s="5"/>
      <c r="J2" s="5"/>
    </row>
    <row r="3" spans="1:11">
      <c r="A3" s="71" t="s">
        <v>32</v>
      </c>
      <c r="B3" s="72"/>
      <c r="C3" s="72"/>
      <c r="D3" s="72"/>
      <c r="E3" s="73"/>
      <c r="G3" s="5" t="s">
        <v>4</v>
      </c>
      <c r="H3" s="5" t="s">
        <v>2</v>
      </c>
      <c r="I3" s="5" t="s">
        <v>3</v>
      </c>
      <c r="J3" s="5" t="s">
        <v>1</v>
      </c>
      <c r="K3" s="4" t="s">
        <v>5</v>
      </c>
    </row>
    <row r="4" spans="1:11">
      <c r="A4" s="25" t="s">
        <v>33</v>
      </c>
      <c r="B4" s="8"/>
      <c r="C4" s="9"/>
      <c r="D4" s="9"/>
      <c r="E4" s="26">
        <f>ABS(4472.7/4472.7)</f>
        <v>1</v>
      </c>
    </row>
    <row r="5" spans="1:11">
      <c r="A5" s="25" t="s">
        <v>34</v>
      </c>
      <c r="B5" s="8"/>
      <c r="C5" s="9"/>
      <c r="D5" s="9"/>
      <c r="E5" s="26">
        <f>ABS(2462.1/4472.7)</f>
        <v>0.55047286873700452</v>
      </c>
    </row>
    <row r="6" spans="1:11">
      <c r="A6" s="71" t="s">
        <v>35</v>
      </c>
      <c r="B6" s="74"/>
      <c r="C6" s="74"/>
      <c r="D6" s="74"/>
      <c r="E6" s="75"/>
    </row>
    <row r="7" spans="1:11">
      <c r="A7" s="25" t="s">
        <v>36</v>
      </c>
      <c r="B7" s="8"/>
      <c r="C7" s="9"/>
      <c r="D7" s="9"/>
      <c r="E7" s="26">
        <f>ABS(1554.7/4472.7)</f>
        <v>0.34759764795313797</v>
      </c>
    </row>
    <row r="8" spans="1:11">
      <c r="A8" s="25" t="s">
        <v>37</v>
      </c>
      <c r="B8" s="8"/>
      <c r="C8" s="9"/>
      <c r="D8" s="9"/>
      <c r="E8" s="26">
        <f>ABS(76.5/4472.7)</f>
        <v>1.7103762827822121E-2</v>
      </c>
    </row>
    <row r="9" spans="1:11">
      <c r="A9" s="25" t="s">
        <v>38</v>
      </c>
      <c r="B9" s="8"/>
      <c r="C9" s="9"/>
      <c r="D9" s="9"/>
      <c r="E9" s="26">
        <f>ABS(4/4472.7)</f>
        <v>8.9431439622599332E-4</v>
      </c>
    </row>
    <row r="10" spans="1:11">
      <c r="A10" s="27" t="s">
        <v>39</v>
      </c>
      <c r="B10" s="6"/>
      <c r="C10" s="10"/>
      <c r="D10" s="10"/>
      <c r="E10" s="28"/>
    </row>
    <row r="11" spans="1:11">
      <c r="A11" s="25"/>
      <c r="B11" s="8"/>
      <c r="C11" s="9"/>
      <c r="D11" s="9"/>
      <c r="E11" s="26"/>
    </row>
    <row r="12" spans="1:11" s="16" customFormat="1">
      <c r="A12" s="29"/>
      <c r="B12" s="13"/>
      <c r="C12" s="14"/>
      <c r="D12" s="14"/>
      <c r="E12" s="30"/>
      <c r="F12" s="15"/>
      <c r="G12" s="15"/>
      <c r="H12" s="15"/>
      <c r="I12" s="15"/>
      <c r="J12" s="15"/>
    </row>
    <row r="13" spans="1:11">
      <c r="A13" s="71"/>
      <c r="B13" s="72"/>
      <c r="C13" s="72"/>
      <c r="D13" s="72"/>
      <c r="E13" s="73"/>
    </row>
    <row r="14" spans="1:11">
      <c r="A14" s="25"/>
      <c r="B14" s="8"/>
      <c r="C14" s="9"/>
      <c r="D14" s="8"/>
      <c r="E14" s="26"/>
    </row>
    <row r="15" spans="1:11">
      <c r="A15" s="25"/>
      <c r="B15" s="8"/>
      <c r="C15" s="9"/>
      <c r="D15" s="9"/>
      <c r="E15" s="26"/>
    </row>
    <row r="16" spans="1:11">
      <c r="A16" s="25"/>
      <c r="B16" s="8"/>
      <c r="C16" s="9"/>
      <c r="D16" s="9"/>
      <c r="E16" s="26"/>
    </row>
    <row r="17" spans="1:10">
      <c r="A17" s="25"/>
      <c r="B17" s="8"/>
      <c r="C17" s="31"/>
      <c r="D17" s="9"/>
      <c r="E17" s="26"/>
    </row>
    <row r="18" spans="1:10" s="12" customFormat="1">
      <c r="A18" s="29"/>
      <c r="B18" s="13"/>
      <c r="C18" s="21"/>
      <c r="D18" s="21"/>
      <c r="E18" s="32"/>
      <c r="F18" s="11"/>
      <c r="G18" s="11"/>
      <c r="H18" s="11"/>
      <c r="I18" s="11"/>
      <c r="J18" s="11"/>
    </row>
    <row r="19" spans="1:10" s="12" customFormat="1">
      <c r="A19" s="27"/>
      <c r="B19" s="8"/>
      <c r="C19" s="9"/>
      <c r="D19" s="9"/>
      <c r="E19" s="26"/>
      <c r="F19" s="11"/>
      <c r="G19" s="11"/>
      <c r="H19" s="11"/>
      <c r="I19" s="11"/>
      <c r="J19" s="11"/>
    </row>
    <row r="20" spans="1:10" s="12" customFormat="1">
      <c r="A20" s="27"/>
      <c r="B20" s="6"/>
      <c r="C20" s="9"/>
      <c r="D20" s="9"/>
      <c r="E20" s="26"/>
      <c r="F20" s="11"/>
      <c r="G20" s="11"/>
      <c r="H20" s="11"/>
      <c r="I20" s="11"/>
      <c r="J20" s="11"/>
    </row>
    <row r="21" spans="1:10" s="12" customFormat="1">
      <c r="A21" s="29"/>
      <c r="B21" s="13"/>
      <c r="C21" s="21"/>
      <c r="D21" s="21"/>
      <c r="E21" s="32"/>
      <c r="F21" s="11"/>
      <c r="G21" s="11"/>
      <c r="H21" s="11"/>
      <c r="I21" s="11"/>
      <c r="J21" s="11"/>
    </row>
    <row r="22" spans="1:10" s="12" customFormat="1">
      <c r="A22" s="64"/>
      <c r="B22" s="65"/>
      <c r="C22" s="65"/>
      <c r="D22" s="65"/>
      <c r="E22" s="66"/>
      <c r="F22" s="11"/>
      <c r="G22" s="11"/>
      <c r="H22" s="11"/>
      <c r="I22" s="11"/>
      <c r="J22" s="11"/>
    </row>
    <row r="23" spans="1:10">
      <c r="A23" s="25"/>
      <c r="B23" s="8"/>
      <c r="C23" s="7"/>
      <c r="D23" s="8"/>
      <c r="E23" s="33"/>
    </row>
    <row r="24" spans="1:10">
      <c r="A24" s="25"/>
      <c r="B24" s="8"/>
      <c r="C24" s="9"/>
      <c r="D24" s="9"/>
      <c r="E24" s="26"/>
    </row>
    <row r="25" spans="1:10">
      <c r="A25" s="25"/>
      <c r="B25" s="8"/>
      <c r="C25" s="9"/>
      <c r="D25" s="9"/>
      <c r="E25" s="26"/>
    </row>
    <row r="26" spans="1:10">
      <c r="A26" s="25"/>
      <c r="B26" s="8"/>
      <c r="C26" s="9"/>
      <c r="D26" s="9"/>
      <c r="E26" s="26"/>
    </row>
    <row r="27" spans="1:10">
      <c r="A27" s="25"/>
      <c r="B27" s="8"/>
      <c r="C27" s="9"/>
      <c r="D27" s="9"/>
      <c r="E27" s="26"/>
    </row>
    <row r="28" spans="1:10">
      <c r="A28" s="25"/>
      <c r="B28" s="8"/>
      <c r="C28" s="9"/>
      <c r="D28" s="9"/>
      <c r="E28" s="26"/>
    </row>
    <row r="29" spans="1:10" s="12" customFormat="1">
      <c r="A29" s="27"/>
      <c r="B29" s="6"/>
      <c r="C29" s="10"/>
      <c r="D29" s="10"/>
      <c r="E29" s="28"/>
      <c r="F29" s="11"/>
      <c r="G29" s="11"/>
      <c r="H29" s="11"/>
      <c r="I29" s="11"/>
      <c r="J29" s="11"/>
    </row>
    <row r="30" spans="1:10" s="16" customFormat="1" ht="16.5" thickBot="1">
      <c r="A30" s="34"/>
      <c r="B30" s="35"/>
      <c r="C30" s="36"/>
      <c r="D30" s="36"/>
      <c r="E30" s="37"/>
      <c r="F30" s="15"/>
      <c r="G30" s="15"/>
      <c r="H30" s="15"/>
      <c r="I30" s="15"/>
      <c r="J30" s="15"/>
    </row>
  </sheetData>
  <mergeCells count="8">
    <mergeCell ref="A22:E22"/>
    <mergeCell ref="A6:E6"/>
    <mergeCell ref="B1:B2"/>
    <mergeCell ref="C1:C2"/>
    <mergeCell ref="D1:D2"/>
    <mergeCell ref="E1:E2"/>
    <mergeCell ref="A3:E3"/>
    <mergeCell ref="A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1" sqref="J21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Size Balance Sheet</vt:lpstr>
      <vt:lpstr>Common Size Income Statement</vt:lpstr>
      <vt:lpstr>Ratio Analyses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cp:lastPrinted>2013-10-04T17:05:31Z</cp:lastPrinted>
  <dcterms:created xsi:type="dcterms:W3CDTF">2013-10-04T16:53:56Z</dcterms:created>
  <dcterms:modified xsi:type="dcterms:W3CDTF">2013-10-06T03:14:01Z</dcterms:modified>
</cp:coreProperties>
</file>