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J14"/>
  <c r="J13"/>
  <c r="J12"/>
  <c r="C25"/>
  <c r="K25"/>
  <c r="G25"/>
  <c r="F25"/>
  <c r="H25"/>
  <c r="E25"/>
  <c r="G30"/>
  <c r="G31"/>
  <c r="H21"/>
  <c r="G21"/>
  <c r="D21"/>
  <c r="F21"/>
  <c r="I21"/>
  <c r="C9"/>
  <c r="K9"/>
  <c r="E9"/>
  <c r="G14"/>
  <c r="G9"/>
  <c r="F9"/>
  <c r="H9"/>
  <c r="H4"/>
  <c r="G4"/>
  <c r="I4"/>
  <c r="H5"/>
  <c r="G5"/>
  <c r="I5"/>
  <c r="D4"/>
  <c r="F4"/>
  <c r="J4"/>
  <c r="G15"/>
  <c r="K4"/>
  <c r="J25"/>
  <c r="M4"/>
  <c r="F5"/>
  <c r="I25"/>
  <c r="B28"/>
  <c r="J21"/>
  <c r="K21"/>
  <c r="J5"/>
  <c r="K5"/>
  <c r="J9"/>
  <c r="I9"/>
  <c r="B12"/>
  <c r="L4"/>
  <c r="M21"/>
  <c r="M5"/>
  <c r="M6"/>
  <c r="G12"/>
  <c r="L21"/>
  <c r="B29"/>
  <c r="L22"/>
  <c r="M22"/>
  <c r="G28"/>
  <c r="L5"/>
  <c r="L6"/>
  <c r="B13"/>
</calcChain>
</file>

<file path=xl/comments1.xml><?xml version="1.0" encoding="utf-8"?>
<comments xmlns="http://schemas.openxmlformats.org/spreadsheetml/2006/main">
  <authors>
    <author xml:space="preserve"> </author>
  </authors>
  <commentList>
    <comment ref="F1" authorId="0">
      <text>
        <r>
          <rPr>
            <sz val="8"/>
            <color indexed="81"/>
            <rFont val="Tahoma"/>
            <family val="2"/>
          </rPr>
          <t xml:space="preserve">0.50% = 50 bps
</t>
        </r>
      </text>
    </comment>
    <comment ref="F18" authorId="0">
      <text>
        <r>
          <rPr>
            <sz val="8"/>
            <color indexed="81"/>
            <rFont val="Tahoma"/>
            <family val="2"/>
          </rPr>
          <t xml:space="preserve">0.50% = 50 bps
</t>
        </r>
      </text>
    </comment>
  </commentList>
</comments>
</file>

<file path=xl/sharedStrings.xml><?xml version="1.0" encoding="utf-8"?>
<sst xmlns="http://schemas.openxmlformats.org/spreadsheetml/2006/main" count="70" uniqueCount="26">
  <si>
    <t>Amount</t>
  </si>
  <si>
    <t>Coupon</t>
  </si>
  <si>
    <t>Maturity</t>
  </si>
  <si>
    <t>Yield to Maturity</t>
  </si>
  <si>
    <t>Price</t>
  </si>
  <si>
    <t>Futures</t>
  </si>
  <si>
    <t>No of futures</t>
  </si>
  <si>
    <t>Value</t>
  </si>
  <si>
    <t>old value</t>
  </si>
  <si>
    <t>new value</t>
  </si>
  <si>
    <t>old bond future</t>
  </si>
  <si>
    <t>new bond future</t>
  </si>
  <si>
    <t>Profit futures</t>
  </si>
  <si>
    <t>FxC-P</t>
  </si>
  <si>
    <t>LCD</t>
  </si>
  <si>
    <t>NCD</t>
  </si>
  <si>
    <t>ACC</t>
  </si>
  <si>
    <t>Dirty Price</t>
  </si>
  <si>
    <t>DV01</t>
  </si>
  <si>
    <t>Conv. Factor</t>
  </si>
  <si>
    <t>Shift</t>
  </si>
  <si>
    <t>USD PORTFOLIO</t>
  </si>
  <si>
    <t>CTD</t>
  </si>
  <si>
    <t>MD</t>
  </si>
  <si>
    <t>Sell futures</t>
  </si>
  <si>
    <t>EUR PORTFOLIO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</si>
</sst>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_-;\-* #,##0_-;_-* &quot;-&quot;??_-;_-@_-"/>
    <numFmt numFmtId="166" formatCode="0.000%"/>
    <numFmt numFmtId="167" formatCode="[$$-409]#,##0_ ;\-[$$-409]#,##0\ "/>
    <numFmt numFmtId="168" formatCode="[$$-409]#,##0.00_ ;\-[$$-409]#,##0.00\ "/>
    <numFmt numFmtId="169" formatCode="#,##0.00_ ;\-#,##0.00\ "/>
    <numFmt numFmtId="170" formatCode="#,##0\ [$€-407];\-#,##0\ [$€-407]"/>
  </numFmts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166" fontId="2" fillId="2" borderId="0" xfId="2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166" fontId="2" fillId="3" borderId="0" xfId="2" applyNumberFormat="1" applyFont="1" applyFill="1"/>
    <xf numFmtId="0" fontId="0" fillId="0" borderId="7" xfId="0" applyBorder="1" applyAlignment="1">
      <alignment vertical="top" wrapText="1"/>
    </xf>
    <xf numFmtId="14" fontId="0" fillId="0" borderId="7" xfId="0" applyNumberFormat="1" applyBorder="1" applyAlignment="1">
      <alignment vertical="top" wrapText="1"/>
    </xf>
    <xf numFmtId="10" fontId="0" fillId="0" borderId="7" xfId="0" applyNumberFormat="1" applyBorder="1" applyAlignment="1">
      <alignment vertical="top" wrapText="1"/>
    </xf>
    <xf numFmtId="2" fontId="0" fillId="0" borderId="7" xfId="0" applyNumberFormat="1" applyBorder="1"/>
    <xf numFmtId="14" fontId="0" fillId="0" borderId="7" xfId="0" applyNumberFormat="1" applyBorder="1"/>
    <xf numFmtId="165" fontId="2" fillId="0" borderId="7" xfId="1" applyNumberFormat="1" applyFont="1" applyBorder="1"/>
    <xf numFmtId="10" fontId="0" fillId="0" borderId="8" xfId="0" applyNumberForma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165" fontId="3" fillId="0" borderId="10" xfId="0" applyNumberFormat="1" applyFont="1" applyBorder="1"/>
    <xf numFmtId="165" fontId="3" fillId="0" borderId="11" xfId="1" applyNumberFormat="1" applyFont="1" applyBorder="1"/>
    <xf numFmtId="2" fontId="0" fillId="0" borderId="12" xfId="0" applyNumberFormat="1" applyBorder="1"/>
    <xf numFmtId="165" fontId="2" fillId="0" borderId="13" xfId="1" applyNumberFormat="1" applyFont="1" applyBorder="1"/>
    <xf numFmtId="165" fontId="0" fillId="0" borderId="14" xfId="0" applyNumberFormat="1" applyBorder="1"/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165" fontId="0" fillId="0" borderId="4" xfId="0" applyNumberFormat="1" applyBorder="1"/>
    <xf numFmtId="165" fontId="2" fillId="0" borderId="12" xfId="1" applyNumberFormat="1" applyFont="1" applyBorder="1"/>
    <xf numFmtId="2" fontId="3" fillId="0" borderId="13" xfId="0" applyNumberFormat="1" applyFont="1" applyBorder="1"/>
    <xf numFmtId="167" fontId="2" fillId="0" borderId="19" xfId="1" applyNumberFormat="1" applyFont="1" applyBorder="1" applyAlignment="1">
      <alignment vertical="top" wrapText="1"/>
    </xf>
    <xf numFmtId="168" fontId="0" fillId="0" borderId="7" xfId="0" applyNumberFormat="1" applyBorder="1"/>
    <xf numFmtId="165" fontId="3" fillId="0" borderId="0" xfId="0" applyNumberFormat="1" applyFont="1" applyBorder="1"/>
    <xf numFmtId="165" fontId="3" fillId="0" borderId="0" xfId="1" applyNumberFormat="1" applyFont="1" applyBorder="1"/>
    <xf numFmtId="169" fontId="0" fillId="0" borderId="7" xfId="0" applyNumberFormat="1" applyBorder="1"/>
    <xf numFmtId="2" fontId="0" fillId="0" borderId="0" xfId="0" applyNumberFormat="1"/>
    <xf numFmtId="14" fontId="3" fillId="0" borderId="0" xfId="0" applyNumberFormat="1" applyFont="1" applyAlignment="1">
      <alignment horizontal="center"/>
    </xf>
    <xf numFmtId="0" fontId="4" fillId="0" borderId="20" xfId="0" applyFont="1" applyFill="1" applyBorder="1"/>
    <xf numFmtId="1" fontId="4" fillId="0" borderId="21" xfId="0" applyNumberFormat="1" applyFont="1" applyBorder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0" fontId="6" fillId="0" borderId="3" xfId="0" applyFont="1" applyBorder="1"/>
    <xf numFmtId="170" fontId="2" fillId="0" borderId="19" xfId="1" applyNumberFormat="1" applyFont="1" applyBorder="1" applyAlignment="1">
      <alignment vertical="top" wrapText="1"/>
    </xf>
    <xf numFmtId="166" fontId="0" fillId="2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Normal="100" workbookViewId="0">
      <selection activeCell="F4" sqref="F4"/>
    </sheetView>
  </sheetViews>
  <sheetFormatPr defaultRowHeight="15"/>
  <cols>
    <col min="1" max="1" width="13.7109375" bestFit="1" customWidth="1"/>
    <col min="2" max="2" width="10.7109375" customWidth="1"/>
    <col min="3" max="3" width="12.42578125" customWidth="1"/>
    <col min="4" max="4" width="9" customWidth="1"/>
    <col min="5" max="5" width="10.28515625" customWidth="1"/>
    <col min="6" max="6" width="11.42578125" customWidth="1"/>
    <col min="7" max="7" width="13.28515625" customWidth="1"/>
    <col min="8" max="8" width="10.7109375" bestFit="1" customWidth="1"/>
    <col min="9" max="9" width="7.42578125" customWidth="1"/>
    <col min="11" max="11" width="10.85546875" customWidth="1"/>
    <col min="12" max="12" width="10.5703125" bestFit="1" customWidth="1"/>
    <col min="13" max="13" width="12.7109375" customWidth="1"/>
    <col min="14" max="14" width="14.5703125" customWidth="1"/>
    <col min="15" max="15" width="14.28515625" bestFit="1" customWidth="1"/>
  </cols>
  <sheetData>
    <row r="1" spans="1:14">
      <c r="A1" s="38">
        <v>40663</v>
      </c>
      <c r="E1" t="s">
        <v>20</v>
      </c>
      <c r="F1" s="1">
        <v>0</v>
      </c>
      <c r="G1" s="9"/>
      <c r="H1" s="9"/>
      <c r="I1" s="9"/>
      <c r="J1" s="9"/>
    </row>
    <row r="2" spans="1:14" ht="15.75" thickBot="1">
      <c r="A2" s="41" t="s">
        <v>21</v>
      </c>
    </row>
    <row r="3" spans="1:14" ht="30.75" thickBot="1">
      <c r="A3" s="24" t="s">
        <v>0</v>
      </c>
      <c r="B3" s="25" t="s">
        <v>1</v>
      </c>
      <c r="C3" s="26" t="s">
        <v>2</v>
      </c>
      <c r="D3" s="26" t="s">
        <v>3</v>
      </c>
      <c r="E3" s="26" t="s">
        <v>19</v>
      </c>
      <c r="F3" s="27" t="s">
        <v>4</v>
      </c>
      <c r="G3" s="27" t="s">
        <v>14</v>
      </c>
      <c r="H3" s="27" t="s">
        <v>15</v>
      </c>
      <c r="I3" s="27" t="s">
        <v>16</v>
      </c>
      <c r="J3" s="27" t="s">
        <v>17</v>
      </c>
      <c r="K3" s="27" t="s">
        <v>18</v>
      </c>
      <c r="L3" s="27" t="s">
        <v>6</v>
      </c>
      <c r="M3" s="28" t="s">
        <v>7</v>
      </c>
    </row>
    <row r="4" spans="1:14" ht="15.75" thickBot="1">
      <c r="A4" s="32">
        <v>100000000</v>
      </c>
      <c r="B4" s="16">
        <v>3.2500000000000001E-2</v>
      </c>
      <c r="C4" s="11">
        <v>43100</v>
      </c>
      <c r="D4" s="12">
        <f>3.114%+F1</f>
        <v>3.1139999999999998E-2</v>
      </c>
      <c r="E4" s="10"/>
      <c r="F4" s="13">
        <f>PRICE($A$1,C4,B4,D4,100,2,1)</f>
        <v>100.810456988417</v>
      </c>
      <c r="G4" s="14">
        <f>COUPPCD($A$1,C4,2,1)</f>
        <v>40543</v>
      </c>
      <c r="H4" s="14">
        <f>COUPNCD($A$1,C4,2,1)</f>
        <v>40724</v>
      </c>
      <c r="I4" s="13">
        <f>ACCRINT(G4,H4,$A$1,B4,100,2,1)</f>
        <v>1.0773480662983426</v>
      </c>
      <c r="J4" s="13">
        <f>F4+I4</f>
        <v>101.88780505471534</v>
      </c>
      <c r="K4" s="33">
        <f>((MDURATION($A$1,C4,B4,D4,2,1)*J4*0.0001)/100)*A4</f>
        <v>60085.702035763854</v>
      </c>
      <c r="L4" s="15">
        <f>K4/$B$12</f>
        <v>830.96627465170116</v>
      </c>
      <c r="M4" s="23">
        <f>A4*J4/100</f>
        <v>101887805.05471535</v>
      </c>
    </row>
    <row r="5" spans="1:14" ht="15.75" thickBot="1">
      <c r="A5" s="32">
        <v>50000000</v>
      </c>
      <c r="B5" s="16">
        <v>4.8500000000000001E-2</v>
      </c>
      <c r="C5" s="11">
        <v>41774</v>
      </c>
      <c r="D5" s="12">
        <f>2.02%+F1</f>
        <v>2.0199999999999999E-2</v>
      </c>
      <c r="E5" s="10"/>
      <c r="F5" s="13">
        <f>PRICE($A$1,C5,B5,D5,100,2,0)</f>
        <v>108.30726337900762</v>
      </c>
      <c r="G5" s="14">
        <f>COUPPCD($A$1,C5,2,0)</f>
        <v>40497</v>
      </c>
      <c r="H5" s="14">
        <f>COUPNCD($A$1,C5,2,0)</f>
        <v>40678</v>
      </c>
      <c r="I5" s="13">
        <f>ACCRINT(G5,H5,$A$1,B5,100,2,0)</f>
        <v>2.2229166666666669</v>
      </c>
      <c r="J5" s="13">
        <f>F5+I5</f>
        <v>110.53018004567429</v>
      </c>
      <c r="K5" s="33">
        <f>((MDURATION($A$1,C5,B5,D5,2,0)*J5*0.0001)/100)*A5</f>
        <v>15403.155261118309</v>
      </c>
      <c r="L5" s="15">
        <f>K5/$B$12</f>
        <v>213.02077052532047</v>
      </c>
      <c r="M5" s="23">
        <f>A5*J5/100</f>
        <v>55265090.02283714</v>
      </c>
    </row>
    <row r="6" spans="1:14" ht="15.75" thickBot="1">
      <c r="A6" s="7"/>
      <c r="B6" s="17"/>
      <c r="C6" s="18"/>
      <c r="D6" s="18"/>
      <c r="E6" s="18"/>
      <c r="F6" s="18"/>
      <c r="G6" s="18"/>
      <c r="H6" s="18"/>
      <c r="I6" s="18"/>
      <c r="J6" s="18"/>
      <c r="K6" s="18"/>
      <c r="L6" s="19">
        <f>SUM(L4:L5)</f>
        <v>1043.9870451770216</v>
      </c>
      <c r="M6" s="20">
        <f>SUM(M4:M5)</f>
        <v>157152895.0775525</v>
      </c>
    </row>
    <row r="7" spans="1:14" ht="15.75" thickBot="1">
      <c r="A7" s="42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4"/>
      <c r="N7" s="35"/>
    </row>
    <row r="8" spans="1:14" ht="30">
      <c r="A8" s="25" t="s">
        <v>1</v>
      </c>
      <c r="B8" s="26" t="s">
        <v>2</v>
      </c>
      <c r="C8" s="26" t="s">
        <v>3</v>
      </c>
      <c r="D8" s="26" t="s">
        <v>19</v>
      </c>
      <c r="E8" s="27" t="s">
        <v>4</v>
      </c>
      <c r="F8" s="27" t="s">
        <v>14</v>
      </c>
      <c r="G8" s="27" t="s">
        <v>15</v>
      </c>
      <c r="H8" s="27" t="s">
        <v>16</v>
      </c>
      <c r="I8" s="27" t="s">
        <v>17</v>
      </c>
      <c r="J8" s="27" t="s">
        <v>13</v>
      </c>
      <c r="K8" s="27" t="s">
        <v>23</v>
      </c>
    </row>
    <row r="9" spans="1:14">
      <c r="A9" s="16">
        <v>0.03</v>
      </c>
      <c r="B9" s="11">
        <v>43159</v>
      </c>
      <c r="C9" s="12">
        <f>3.143%+F1</f>
        <v>3.143E-2</v>
      </c>
      <c r="D9" s="10">
        <v>0.84050000000000002</v>
      </c>
      <c r="E9" s="13">
        <f>PRICE($A$1,B9,A9,C9,100,2,1)</f>
        <v>99.12408336981278</v>
      </c>
      <c r="F9" s="14">
        <f>COUPPCD($A$1,B9,2,1)</f>
        <v>40602</v>
      </c>
      <c r="G9" s="14">
        <f>COUPNCD($A$1,B9,2,1)</f>
        <v>40786</v>
      </c>
      <c r="H9" s="13">
        <f>ACCRINT(F9,G9,$A$1,A9,100,2,1)</f>
        <v>0.49728260869565211</v>
      </c>
      <c r="I9" s="13">
        <f>E9+H9</f>
        <v>99.621365978508436</v>
      </c>
      <c r="J9" s="13">
        <f>($B$11*D9)-E9</f>
        <v>-0.44413024481278285</v>
      </c>
      <c r="K9" s="36">
        <f>MDURATION($A$1,B9,A9,C9,2,1)</f>
        <v>6.1006058551359938</v>
      </c>
    </row>
    <row r="10" spans="1:14" ht="15.75" thickBo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4"/>
      <c r="N10" s="35"/>
    </row>
    <row r="11" spans="1:14">
      <c r="A11" s="2" t="s">
        <v>5</v>
      </c>
      <c r="B11" s="31">
        <v>117.40625</v>
      </c>
      <c r="E11" s="2" t="s">
        <v>8</v>
      </c>
      <c r="F11" s="3"/>
      <c r="G11" s="22">
        <v>157168243</v>
      </c>
    </row>
    <row r="12" spans="1:14" ht="15.75" thickBot="1">
      <c r="A12" s="7" t="s">
        <v>18</v>
      </c>
      <c r="B12" s="21">
        <f>K9/D9*I9*0.0001/100*100000</f>
        <v>72.308231836422877</v>
      </c>
      <c r="E12" s="4" t="s">
        <v>9</v>
      </c>
      <c r="F12" s="5"/>
      <c r="G12" s="29">
        <f>M6-G11</f>
        <v>-15347.922447502613</v>
      </c>
      <c r="J12">
        <f>100*5.98</f>
        <v>598</v>
      </c>
    </row>
    <row r="13" spans="1:14" ht="15.75" thickBot="1">
      <c r="A13" s="39" t="s">
        <v>24</v>
      </c>
      <c r="B13" s="40">
        <f>(K4+K5)/B12</f>
        <v>1043.9870451770216</v>
      </c>
      <c r="E13" s="4" t="s">
        <v>10</v>
      </c>
      <c r="F13" s="5"/>
      <c r="G13" s="6">
        <v>117.41</v>
      </c>
      <c r="J13">
        <f>50*2.81</f>
        <v>140.5</v>
      </c>
    </row>
    <row r="14" spans="1:14">
      <c r="E14" s="4" t="s">
        <v>11</v>
      </c>
      <c r="F14" s="5"/>
      <c r="G14" s="6">
        <f>(E9/D9)-0.45</f>
        <v>117.48466195099675</v>
      </c>
      <c r="J14">
        <f>(J12+J13)/150</f>
        <v>4.9233333333333329</v>
      </c>
    </row>
    <row r="15" spans="1:14" ht="15.75" thickBot="1">
      <c r="E15" s="7" t="s">
        <v>12</v>
      </c>
      <c r="F15" s="8"/>
      <c r="G15" s="30">
        <f>((G13-G14)*100)*10*1044</f>
        <v>-77947.076840613139</v>
      </c>
    </row>
    <row r="16" spans="1:14">
      <c r="H16" s="37"/>
    </row>
    <row r="18" spans="1:14">
      <c r="A18" s="38">
        <v>40298</v>
      </c>
      <c r="E18" t="s">
        <v>20</v>
      </c>
      <c r="F18" s="46">
        <v>0</v>
      </c>
      <c r="G18" s="9"/>
      <c r="H18" s="9"/>
      <c r="I18" s="9"/>
      <c r="J18" s="9"/>
    </row>
    <row r="19" spans="1:14" ht="15.75" thickBot="1">
      <c r="A19" s="43" t="s">
        <v>25</v>
      </c>
    </row>
    <row r="20" spans="1:14" ht="30.75" thickBot="1">
      <c r="A20" s="24" t="s">
        <v>0</v>
      </c>
      <c r="B20" s="25" t="s">
        <v>1</v>
      </c>
      <c r="C20" s="26" t="s">
        <v>2</v>
      </c>
      <c r="D20" s="26" t="s">
        <v>3</v>
      </c>
      <c r="E20" s="26" t="s">
        <v>19</v>
      </c>
      <c r="F20" s="27" t="s">
        <v>4</v>
      </c>
      <c r="G20" s="27" t="s">
        <v>14</v>
      </c>
      <c r="H20" s="27" t="s">
        <v>15</v>
      </c>
      <c r="I20" s="27" t="s">
        <v>16</v>
      </c>
      <c r="J20" s="27" t="s">
        <v>17</v>
      </c>
      <c r="K20" s="27" t="s">
        <v>18</v>
      </c>
      <c r="L20" s="27" t="s">
        <v>6</v>
      </c>
      <c r="M20" s="28" t="s">
        <v>7</v>
      </c>
    </row>
    <row r="21" spans="1:14" ht="15.75" thickBot="1">
      <c r="A21" s="45">
        <v>25000000</v>
      </c>
      <c r="B21" s="16">
        <v>0.04</v>
      </c>
      <c r="C21" s="11">
        <v>41459</v>
      </c>
      <c r="D21" s="12">
        <f>0.894%+F18</f>
        <v>8.94E-3</v>
      </c>
      <c r="E21" s="10"/>
      <c r="F21" s="13">
        <f>PRICE(A18,C21,B21,D21,100,1,1)</f>
        <v>109.68696790276398</v>
      </c>
      <c r="G21" s="14">
        <f>COUPPCD($A$1,C21,1,1)</f>
        <v>40363</v>
      </c>
      <c r="H21" s="14">
        <f>COUPNCD($A$1,C21,1,1)</f>
        <v>40728</v>
      </c>
      <c r="I21" s="13">
        <f>ACCRINT(G21,H21,$A$1,B21,100,1,1)</f>
        <v>3.2876712328767121</v>
      </c>
      <c r="J21" s="13">
        <f>F21+I21</f>
        <v>112.9746391356407</v>
      </c>
      <c r="K21" s="33">
        <f>((MDURATION($A$1,C21,B21,D21,1,1)*J21*0.0001)/100)*A21</f>
        <v>5793.0703146619062</v>
      </c>
      <c r="L21" s="15">
        <f>K21/B28</f>
        <v>285.17859811524863</v>
      </c>
      <c r="M21" s="23">
        <f>A21*J21/100</f>
        <v>28243659.783910174</v>
      </c>
    </row>
    <row r="22" spans="1:14" ht="15.75" thickBot="1">
      <c r="A22" s="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9">
        <f>SUM(L21:L21)</f>
        <v>285.17859811524863</v>
      </c>
      <c r="M22" s="20">
        <f>SUM(M21:M21)</f>
        <v>28243659.783910174</v>
      </c>
    </row>
    <row r="23" spans="1:14" ht="15.75" thickBot="1">
      <c r="A23" s="44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34"/>
      <c r="N23" s="35"/>
    </row>
    <row r="24" spans="1:14" ht="30">
      <c r="A24" s="25" t="s">
        <v>1</v>
      </c>
      <c r="B24" s="26" t="s">
        <v>2</v>
      </c>
      <c r="C24" s="26" t="s">
        <v>3</v>
      </c>
      <c r="D24" s="26" t="s">
        <v>19</v>
      </c>
      <c r="E24" s="27" t="s">
        <v>4</v>
      </c>
      <c r="F24" s="27" t="s">
        <v>14</v>
      </c>
      <c r="G24" s="27" t="s">
        <v>15</v>
      </c>
      <c r="H24" s="27" t="s">
        <v>16</v>
      </c>
      <c r="I24" s="27" t="s">
        <v>17</v>
      </c>
      <c r="J24" s="27" t="s">
        <v>13</v>
      </c>
      <c r="K24" s="27" t="s">
        <v>23</v>
      </c>
    </row>
    <row r="25" spans="1:14">
      <c r="A25" s="16">
        <v>0.01</v>
      </c>
      <c r="B25" s="11">
        <v>41349</v>
      </c>
      <c r="C25" s="12">
        <f>0.79%+F18</f>
        <v>7.9000000000000008E-3</v>
      </c>
      <c r="D25" s="10">
        <v>0.91849999999999998</v>
      </c>
      <c r="E25" s="13">
        <f>PRICE(A18,B25,A25,C25,100,1,1)</f>
        <v>100.5945514358589</v>
      </c>
      <c r="F25" s="14">
        <f>COUPPCD($A$1,B25,1,1)</f>
        <v>40618</v>
      </c>
      <c r="G25" s="14">
        <f>COUPNCD($A$1,B25,1,1)</f>
        <v>40984</v>
      </c>
      <c r="H25" s="13">
        <f>ACCRINT(F25,G25,$A$1,A25,100,1,1)</f>
        <v>0.12295081967213115</v>
      </c>
      <c r="I25" s="13">
        <f>E25+H25</f>
        <v>100.71750225553103</v>
      </c>
      <c r="J25" s="13">
        <f>(B27*D25)-E25</f>
        <v>-0.35864643585891542</v>
      </c>
      <c r="K25" s="36">
        <f>MDURATION($A$1,B25,A25,C25,1,1)</f>
        <v>1.8525335579338922</v>
      </c>
    </row>
    <row r="26" spans="1:14" ht="15.75" thickBo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34"/>
      <c r="N26" s="35"/>
    </row>
    <row r="27" spans="1:14">
      <c r="A27" s="2" t="s">
        <v>5</v>
      </c>
      <c r="B27" s="31">
        <v>109.13</v>
      </c>
      <c r="E27" s="2" t="s">
        <v>8</v>
      </c>
      <c r="F27" s="3"/>
      <c r="G27" s="22">
        <v>27488816</v>
      </c>
    </row>
    <row r="28" spans="1:14" ht="15.75" thickBot="1">
      <c r="A28" s="7" t="s">
        <v>18</v>
      </c>
      <c r="B28" s="21">
        <f>K25/D25*I25*0.0001/100*100000</f>
        <v>20.313832640136496</v>
      </c>
      <c r="E28" s="4" t="s">
        <v>9</v>
      </c>
      <c r="F28" s="5"/>
      <c r="G28" s="29">
        <f>M22-G27</f>
        <v>754843.78391017392</v>
      </c>
    </row>
    <row r="29" spans="1:14" ht="15.75" thickBot="1">
      <c r="A29" s="39" t="s">
        <v>24</v>
      </c>
      <c r="B29" s="40">
        <f>K21/B28</f>
        <v>285.17859811524863</v>
      </c>
      <c r="E29" s="4" t="s">
        <v>10</v>
      </c>
      <c r="F29" s="5"/>
      <c r="G29" s="6">
        <v>109.13</v>
      </c>
    </row>
    <row r="30" spans="1:14">
      <c r="E30" s="4" t="s">
        <v>11</v>
      </c>
      <c r="F30" s="5"/>
      <c r="G30" s="6">
        <f>(E25/D25)-0.15</f>
        <v>109.37046971786489</v>
      </c>
    </row>
    <row r="31" spans="1:14" ht="15.75" thickBot="1">
      <c r="E31" s="7" t="s">
        <v>12</v>
      </c>
      <c r="F31" s="8"/>
      <c r="G31" s="30">
        <f>((G29-G30)*100)*10*282</f>
        <v>-67812.460437901056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Shiv.Koppalkar</cp:lastModifiedBy>
  <dcterms:created xsi:type="dcterms:W3CDTF">2010-04-20T10:43:04Z</dcterms:created>
  <dcterms:modified xsi:type="dcterms:W3CDTF">2013-08-22T16:04:54Z</dcterms:modified>
</cp:coreProperties>
</file>