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Moving Average" sheetId="1" r:id="rId1"/>
    <sheet name="Exponential" sheetId="2" r:id="rId2"/>
    <sheet name="MAD and Tracking Signals" sheetId="3" r:id="rId3"/>
    <sheet name="LeastSqRegression" sheetId="4" r:id="rId4"/>
  </sheets>
  <externalReferences>
    <externalReference r:id="rId7"/>
  </externalReferences>
  <definedNames>
    <definedName name="A" localSheetId="1">'Exponential'!$AV$20</definedName>
    <definedName name="A" localSheetId="0">'Moving Average'!#REF!</definedName>
    <definedName name="a">'[1]Linear Model'!$BC$23</definedName>
    <definedName name="Ad_Expense" localSheetId="1">'Exponential'!$B$5:$B$24</definedName>
    <definedName name="Ad_Expense" localSheetId="0">'Moving Average'!$C$8:$C$27</definedName>
    <definedName name="Ad_Expense">'[1]Linear Model'!$C$8:$C$43</definedName>
    <definedName name="Adjusted_R_Square" localSheetId="1">'Exponential'!#REF!</definedName>
    <definedName name="Adjusted_R_Square" localSheetId="0">'Moving Average'!#REF!</definedName>
    <definedName name="Adjusted_R_Square">'[1]Linear Model'!#REF!</definedName>
    <definedName name="alpha">#REF!</definedName>
    <definedName name="Alpha_1">'[1]TrendAdjusted'!$D$55</definedName>
    <definedName name="Alpha_2">'[1]TrendAdjusted'!$D$56</definedName>
    <definedName name="Answer" localSheetId="1">'Exponential'!#REF!</definedName>
    <definedName name="Answer" localSheetId="0">'Moving Average'!#REF!</definedName>
    <definedName name="Answer">'[1]Linear Model'!$AH$6:$AH$62</definedName>
    <definedName name="Answer_allowance" localSheetId="1">'Exponential'!$AQ$8</definedName>
    <definedName name="Answer_allowance" localSheetId="0">'Moving Average'!#REF!</definedName>
    <definedName name="Answer_allowance">'[1]Linear Model'!$AX$11</definedName>
    <definedName name="B" localSheetId="1">'Exponential'!$AV$21</definedName>
    <definedName name="B" localSheetId="0">'Moving Average'!#REF!</definedName>
    <definedName name="B">'[1]Linear Model'!$BC$24</definedName>
    <definedName name="Begin_Time" localSheetId="1">'Exponential'!#REF!</definedName>
    <definedName name="Begin_Time" localSheetId="0">'Moving Average'!#REF!</definedName>
    <definedName name="Begin_Time">'[1]Linear Model'!$AH$74</definedName>
    <definedName name="Computed_t" localSheetId="1">'Exponential'!$AQ$13</definedName>
    <definedName name="Computed_t" localSheetId="0">'Moving Average'!#REF!</definedName>
    <definedName name="Computed_t">'[1]Linear Model'!$AX$16</definedName>
    <definedName name="Confidence_level" localSheetId="1">'Exponential'!$AQ$7</definedName>
    <definedName name="Confidence_level" localSheetId="0">'Moving Average'!#REF!</definedName>
    <definedName name="Confidence_level">'[1]Linear Model'!$AX$10</definedName>
    <definedName name="Critical_t" localSheetId="1">'Exponential'!$AQ$14</definedName>
    <definedName name="Critical_t" localSheetId="0">'Moving Average'!#REF!</definedName>
    <definedName name="Critical_t">'[1]Linear Model'!$AX$17</definedName>
    <definedName name="dfE" localSheetId="1">'Exponential'!#REF!</definedName>
    <definedName name="dfE" localSheetId="0">'Moving Average'!#REF!</definedName>
    <definedName name="dfE">'[1]Linear Model'!$BN$47</definedName>
    <definedName name="dfTR" localSheetId="1">'Exponential'!#REF!</definedName>
    <definedName name="dfTR" localSheetId="0">'Moving Average'!#REF!</definedName>
    <definedName name="dfTR">'[1]Linear Model'!#REF!</definedName>
    <definedName name="Diff" localSheetId="1">'Exponential'!#REF!</definedName>
    <definedName name="Diff" localSheetId="0">'Moving Average'!#REF!</definedName>
    <definedName name="Diff">'[1]Linear Model'!$AC$16:$AC$67</definedName>
    <definedName name="Direction_randomizer" localSheetId="1">'Exponential'!#REF!</definedName>
    <definedName name="Direction_randomizer" localSheetId="0">'Moving Average'!#REF!</definedName>
    <definedName name="Direction_randomizer">'[1]Linear Model'!#REF!</definedName>
    <definedName name="Elapsed_Time__hours" localSheetId="1">'Exponential'!#REF!</definedName>
    <definedName name="Elapsed_Time__hours" localSheetId="0">'Moving Average'!#REF!</definedName>
    <definedName name="Elapsed_Time__hours">'[1]Linear Model'!$AH$77</definedName>
    <definedName name="Elapsed_Time__mins" localSheetId="1">'Exponential'!#REF!</definedName>
    <definedName name="Elapsed_Time__mins" localSheetId="0">'Moving Average'!#REF!</definedName>
    <definedName name="Elapsed_Time__mins">'[1]Linear Model'!$AH$76</definedName>
    <definedName name="End_Time" localSheetId="1">'Exponential'!#REF!</definedName>
    <definedName name="End_Time" localSheetId="0">'Moving Average'!#REF!</definedName>
    <definedName name="End_Time">'[1]Linear Model'!$AH$75</definedName>
    <definedName name="Graph" localSheetId="1">'Exponential'!#REF!</definedName>
    <definedName name="Graph" localSheetId="0">'Moving Average'!#REF!</definedName>
    <definedName name="Graph">'[1]Linear Model'!$A$175:$J$218</definedName>
    <definedName name="Intercept" localSheetId="1">'Exponential'!#REF!</definedName>
    <definedName name="Intercept" localSheetId="0">'Moving Average'!#REF!</definedName>
    <definedName name="Intercept">'[1]Linear Model'!$BM$51</definedName>
    <definedName name="LookupTable" localSheetId="1">'Exponential'!$B$5:$D$36</definedName>
    <definedName name="LookupTable" localSheetId="0">'Moving Average'!$C$8:$E$37</definedName>
    <definedName name="LookupTable">#REF!</definedName>
    <definedName name="LookupTable_TAdjusted">'[1]TrendAdjusted'!$B$8:$D$36</definedName>
    <definedName name="MSE" localSheetId="1">'Exponential'!#REF!</definedName>
    <definedName name="MSE" localSheetId="0">'Moving Average'!#REF!</definedName>
    <definedName name="MSE">'[1]Linear Model'!#REF!</definedName>
    <definedName name="MSTR" localSheetId="1">'Exponential'!#REF!</definedName>
    <definedName name="MSTR" localSheetId="0">'Moving Average'!#REF!</definedName>
    <definedName name="MSTR">'[1]Linear Model'!#REF!</definedName>
    <definedName name="Multiple_R" localSheetId="1">'Exponential'!#REF!</definedName>
    <definedName name="Multiple_R" localSheetId="0">'Moving Average'!#REF!</definedName>
    <definedName name="Multiple_R">'[1]Linear Model'!#REF!</definedName>
    <definedName name="n" localSheetId="1">'Exponential'!$AQ$12</definedName>
    <definedName name="n" localSheetId="0">'Moving Average'!#REF!</definedName>
    <definedName name="n">'[1]Linear Model'!$AX$15</definedName>
    <definedName name="Observations" localSheetId="1">'Exponential'!#REF!</definedName>
    <definedName name="Observations" localSheetId="0">'Moving Average'!#REF!</definedName>
    <definedName name="Observations">'[1]Linear Model'!$BM$41</definedName>
    <definedName name="PlannedAdExpense" localSheetId="1">'Exponential'!$AQ$9</definedName>
    <definedName name="PlannedAdExpense" localSheetId="0">'Moving Average'!#REF!</definedName>
    <definedName name="PlannedAdExpense">'[1]Linear Model'!$AX$12</definedName>
    <definedName name="Points" localSheetId="1">'Exponential'!#REF!</definedName>
    <definedName name="Points" localSheetId="0">'Moving Average'!#REF!</definedName>
    <definedName name="Points">'[1]Linear Model'!$AI$5:$AI$22</definedName>
    <definedName name="_xlnm.Print_Area" localSheetId="1">'Exponential'!$B$2:$I$50</definedName>
    <definedName name="_xlnm.Print_Area" localSheetId="0">'Moving Average'!$B$2:$K$52</definedName>
    <definedName name="pvalue" localSheetId="1">'Exponential'!#REF!</definedName>
    <definedName name="pvalue" localSheetId="0">'Moving Average'!#REF!</definedName>
    <definedName name="pvalue">'[1]Linear Model'!$AH$57</definedName>
    <definedName name="R_Square" localSheetId="1">'Exponential'!#REF!</definedName>
    <definedName name="R_Square" localSheetId="0">'Moving Average'!#REF!</definedName>
    <definedName name="R_Square">'[1]Linear Model'!$BM$39</definedName>
    <definedName name="Randomizer" localSheetId="1">'Exponential'!$AQ$6</definedName>
    <definedName name="Randomizer" localSheetId="0">'Moving Average'!#REF!</definedName>
    <definedName name="Randomizer">'[1]Linear Model'!$AX$9</definedName>
    <definedName name="Regression_Output" localSheetId="1">'Exponential'!$BD$29:$BL$50</definedName>
    <definedName name="Regression_Output" localSheetId="0">'Moving Average'!#REF!</definedName>
    <definedName name="Regression_Output">'[1]Linear Model'!$BK$32:$BS$75</definedName>
    <definedName name="s" localSheetId="1">'Exponential'!#REF!</definedName>
    <definedName name="s" localSheetId="0">'Moving Average'!#REF!</definedName>
    <definedName name="s">'[1]Linear Model'!$BM$40</definedName>
    <definedName name="Sales" localSheetId="1">'Exponential'!$C$5:$C$24</definedName>
    <definedName name="Sales" localSheetId="0">'Moving Average'!$D$8:$D$27</definedName>
    <definedName name="Sales">'[1]Linear Model'!$D$8:$D$43</definedName>
    <definedName name="Significance_level" localSheetId="1">'Exponential'!$AQ$5</definedName>
    <definedName name="Significance_level" localSheetId="0">'Moving Average'!#REF!</definedName>
    <definedName name="Significance_level">'[1]Linear Model'!$AX$8</definedName>
    <definedName name="Significance_level_table" localSheetId="1">'Exponential'!$AQ$1:$AS$1</definedName>
    <definedName name="Significance_level_table" localSheetId="0">'Moving Average'!#REF!</definedName>
    <definedName name="Significance_level_table">'[1]Linear Model'!$AX$1:$AZ$1</definedName>
    <definedName name="Slope" localSheetId="1">'Exponential'!$BF$36</definedName>
    <definedName name="Slope" localSheetId="0">'Moving Average'!#REF!</definedName>
    <definedName name="Slope">'[1]Linear Model'!$BM$52</definedName>
    <definedName name="slope_p_value" localSheetId="1">'Exponential'!$BI$36</definedName>
    <definedName name="slope_p_value" localSheetId="0">'Moving Average'!#REF!</definedName>
    <definedName name="slope_p_value">'[1]Linear Model'!$BP$52</definedName>
    <definedName name="Smoothing_Constant" localSheetId="1">'Exponential'!$J$6</definedName>
    <definedName name="Smoothing_Constant" localSheetId="0">'Moving Average'!#REF!</definedName>
    <definedName name="Smoothing_Constant">#REF!</definedName>
    <definedName name="SSE" localSheetId="1">'Exponential'!#REF!</definedName>
    <definedName name="SSE" localSheetId="0">'Moving Average'!#REF!</definedName>
    <definedName name="SSE">'[1]Linear Model'!$BM$47</definedName>
    <definedName name="SSR" localSheetId="1">'Exponential'!#REF!</definedName>
    <definedName name="SSR" localSheetId="0">'Moving Average'!#REF!</definedName>
    <definedName name="SSR">'[1]Linear Model'!$BM$46</definedName>
    <definedName name="SSTR" localSheetId="1">'Exponential'!#REF!</definedName>
    <definedName name="SSTR" localSheetId="0">'Moving Average'!#REF!</definedName>
    <definedName name="SSTR">'[1]Linear Model'!#REF!</definedName>
    <definedName name="SSx" localSheetId="1">'Exponential'!$AV$23</definedName>
    <definedName name="SSx" localSheetId="0">'Moving Average'!#REF!</definedName>
    <definedName name="SSx">'[1]Linear Model'!$BC$26</definedName>
    <definedName name="SSxy" localSheetId="1">'Exponential'!$AV$22</definedName>
    <definedName name="SSxy" localSheetId="0">'Moving Average'!#REF!</definedName>
    <definedName name="SSxy">'[1]Linear Model'!$BC$25</definedName>
    <definedName name="SSy" localSheetId="1">'Exponential'!$AV$24</definedName>
    <definedName name="SSy" localSheetId="0">'Moving Average'!#REF!</definedName>
    <definedName name="SSy">'[1]Linear Model'!$BC$27</definedName>
    <definedName name="Time_Period" localSheetId="0">'Moving Average'!$L$27</definedName>
    <definedName name="Time_period">'[1]TrendAdjusted'!$D$57</definedName>
    <definedName name="Time_Period1" localSheetId="1">'Exponential'!$J$25</definedName>
    <definedName name="Time_Period1">#REF!</definedName>
    <definedName name="TimePeriod1">'[1]TrendAdjusted'!$D$57</definedName>
    <definedName name="x" localSheetId="1">'Exponential'!$AU$31:$AU$50</definedName>
    <definedName name="x" localSheetId="0">'Moving Average'!#REF!</definedName>
    <definedName name="x">'[1]Linear Model'!$BB$34:$BB$76</definedName>
    <definedName name="x2_" localSheetId="1">'Exponential'!$AW$31:$AW$50</definedName>
    <definedName name="x2_" localSheetId="0">'Moving Average'!#REF!</definedName>
    <definedName name="x2_">'[1]Linear Model'!$BD$34:$BD$76</definedName>
    <definedName name="XY" localSheetId="1">'Exponential'!$AY$31:$AY$50</definedName>
    <definedName name="XY" localSheetId="0">'Moving Average'!#REF!</definedName>
    <definedName name="XY">'[1]Linear Model'!$BF$34:$BF$76</definedName>
    <definedName name="y" localSheetId="1">'Exponential'!$AV$31:$AV$50</definedName>
    <definedName name="y" localSheetId="0">'Moving Average'!#REF!</definedName>
    <definedName name="y">'[1]Linear Model'!$BC$34:$BC$76</definedName>
    <definedName name="Y_hat" localSheetId="1">'Exponential'!#REF!</definedName>
    <definedName name="Y_hat" localSheetId="0">'Moving Average'!#REF!</definedName>
    <definedName name="Y_hat">'[1]Linear Model'!$AH$42</definedName>
    <definedName name="Y_hat_LL" localSheetId="1">'Exponential'!$AQ$12</definedName>
    <definedName name="Y_hat_LL" localSheetId="0">'Moving Average'!#REF!</definedName>
    <definedName name="Y_hat_LL">'[1]Linear Model'!$AX$15</definedName>
    <definedName name="Y_hat_UL" localSheetId="1">'Exponential'!$AQ$11</definedName>
    <definedName name="Y_hat_UL" localSheetId="0">'Moving Average'!#REF!</definedName>
    <definedName name="Y_hat_UL">'[1]Linear Model'!$AX$14</definedName>
    <definedName name="y2_" localSheetId="1">'Exponential'!$AX$31:$AX$50</definedName>
    <definedName name="y2_" localSheetId="0">'Moving Average'!#REF!</definedName>
    <definedName name="y2_">'[1]Linear Model'!$BE$34:$BE$76</definedName>
    <definedName name="Ybar" localSheetId="1">'Exponential'!$AZ$31:$AZ$50</definedName>
    <definedName name="Ybar" localSheetId="0">'Moving Average'!#REF!</definedName>
    <definedName name="Ybar">'[1]Linear Model'!$BG$34:$BG$76</definedName>
    <definedName name="Year" localSheetId="1">'Exponential'!#REF!</definedName>
    <definedName name="Year" localSheetId="0">'Moving Average'!$B$8:$B$38</definedName>
    <definedName name="Year">'[1]Linear Model'!$B$8:$B$51</definedName>
    <definedName name="Your_Answer" localSheetId="1">'Exponential'!#REF!</definedName>
    <definedName name="Your_Answer" localSheetId="0">'Moving Average'!#REF!</definedName>
    <definedName name="Your_Answer">'[1]Linear Model'!$AG$6:$AG$67</definedName>
  </definedNames>
  <calcPr fullCalcOnLoad="1"/>
</workbook>
</file>

<file path=xl/sharedStrings.xml><?xml version="1.0" encoding="utf-8"?>
<sst xmlns="http://schemas.openxmlformats.org/spreadsheetml/2006/main" count="126" uniqueCount="84">
  <si>
    <t>x</t>
  </si>
  <si>
    <t>y</t>
  </si>
  <si>
    <t>xy</t>
  </si>
  <si>
    <t>(1)</t>
  </si>
  <si>
    <t>(2)</t>
  </si>
  <si>
    <t>(3)</t>
  </si>
  <si>
    <t>(4)</t>
  </si>
  <si>
    <t>(5)</t>
  </si>
  <si>
    <t>(6)</t>
  </si>
  <si>
    <t>Ŷ</t>
  </si>
  <si>
    <t>= X-bar</t>
  </si>
  <si>
    <t>= b</t>
  </si>
  <si>
    <t>= Y-bar</t>
  </si>
  <si>
    <t>= a</t>
  </si>
  <si>
    <r>
      <t>x</t>
    </r>
    <r>
      <rPr>
        <b/>
        <i/>
        <vertAlign val="superscript"/>
        <sz val="10"/>
        <rFont val="Arial"/>
        <family val="2"/>
      </rPr>
      <t>2</t>
    </r>
  </si>
  <si>
    <r>
      <t>y</t>
    </r>
    <r>
      <rPr>
        <b/>
        <i/>
        <vertAlign val="superscript"/>
        <sz val="10"/>
        <rFont val="Arial"/>
        <family val="2"/>
      </rPr>
      <t>2</t>
    </r>
  </si>
  <si>
    <t>Least Squares Regression Template</t>
  </si>
  <si>
    <t>FORECAST</t>
  </si>
  <si>
    <t>Period</t>
  </si>
  <si>
    <t>Demand</t>
  </si>
  <si>
    <t>DESEASONALIZED</t>
  </si>
  <si>
    <r>
      <t>y</t>
    </r>
    <r>
      <rPr>
        <vertAlign val="subscript"/>
        <sz val="10"/>
        <rFont val="Arial"/>
        <family val="2"/>
      </rPr>
      <t>d</t>
    </r>
  </si>
  <si>
    <t>SEASONALIZED</t>
  </si>
  <si>
    <t>Seasonal</t>
  </si>
  <si>
    <t>Factor</t>
  </si>
  <si>
    <r>
      <t>y</t>
    </r>
    <r>
      <rPr>
        <vertAlign val="subscript"/>
        <sz val="10"/>
        <rFont val="Arial"/>
        <family val="2"/>
      </rPr>
      <t>s</t>
    </r>
  </si>
  <si>
    <t xml:space="preserve">Actual </t>
  </si>
  <si>
    <t>Forecast</t>
  </si>
  <si>
    <t>Solution</t>
  </si>
  <si>
    <t>Actual Demand</t>
  </si>
  <si>
    <t>Forecast Demand</t>
  </si>
  <si>
    <t>Actual Deviation</t>
  </si>
  <si>
    <t>Cumulative Deviation (RSFE)</t>
  </si>
  <si>
    <t>Absolute Deviation</t>
  </si>
  <si>
    <t>MAD =</t>
  </si>
  <si>
    <t>Tracking Signal =</t>
  </si>
  <si>
    <t>MAD and Tracking Signal</t>
  </si>
  <si>
    <t>Sum of Abs. Dev.</t>
  </si>
  <si>
    <t>MAD*</t>
  </si>
  <si>
    <t>TS=RSFE/MAD</t>
  </si>
  <si>
    <t>Exponential Smoothing</t>
  </si>
  <si>
    <t>t</t>
  </si>
  <si>
    <t>Sales</t>
  </si>
  <si>
    <t>Error</t>
  </si>
  <si>
    <t>Error^2</t>
  </si>
  <si>
    <t xml:space="preserve">  Sigmas equal?</t>
  </si>
  <si>
    <t xml:space="preserve">  Significance level</t>
  </si>
  <si>
    <t>Randomizer</t>
  </si>
  <si>
    <t>Confidence_level</t>
  </si>
  <si>
    <t>Answer allowance</t>
  </si>
  <si>
    <t>PlannedAdExpense</t>
  </si>
  <si>
    <t>Y_hat_UL</t>
  </si>
  <si>
    <t>Y_hat_LL</t>
  </si>
  <si>
    <t>A</t>
  </si>
  <si>
    <t>B</t>
  </si>
  <si>
    <t>SSxy</t>
  </si>
  <si>
    <t>SSx</t>
  </si>
  <si>
    <t>Your pvalue</t>
  </si>
  <si>
    <t>SSy</t>
  </si>
  <si>
    <t>Correct pvalue</t>
  </si>
  <si>
    <t>Smoothing Constant:</t>
  </si>
  <si>
    <t>x2</t>
  </si>
  <si>
    <t>y2</t>
  </si>
  <si>
    <t>XY</t>
  </si>
  <si>
    <t>Ybar</t>
  </si>
  <si>
    <t>y-ybar</t>
  </si>
  <si>
    <t>x-xbar</t>
  </si>
  <si>
    <t>MAD</t>
  </si>
  <si>
    <t>MSE</t>
  </si>
  <si>
    <t>SUMMARY OUTPUT</t>
  </si>
  <si>
    <t>Regression Statistics</t>
  </si>
  <si>
    <t>Multiple R</t>
  </si>
  <si>
    <t>Advertising Exp</t>
  </si>
  <si>
    <t>Sum</t>
  </si>
  <si>
    <t xml:space="preserve">   Upper Limit</t>
  </si>
  <si>
    <t xml:space="preserve">   Lower Limit</t>
  </si>
  <si>
    <t>X</t>
  </si>
  <si>
    <t>Y</t>
  </si>
  <si>
    <t>Time Period</t>
  </si>
  <si>
    <t>Moving Average</t>
  </si>
  <si>
    <t>Erro^2</t>
  </si>
  <si>
    <t>Actual</t>
  </si>
  <si>
    <t>Number of Periods in MA</t>
  </si>
  <si>
    <t/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</si>
</sst>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  <numFmt numFmtId="166" formatCode="#,##0.0"/>
    <numFmt numFmtId="167" formatCode="#,##0.000"/>
    <numFmt numFmtId="168" formatCode="#,##0__"/>
    <numFmt numFmtId="169" formatCode="#,##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"/>
    <numFmt numFmtId="174" formatCode="_(* #,##0.0_);_(* \(#,##0.0\);_(* &quot;-&quot;??_);_(@_)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0000"/>
    <numFmt numFmtId="182" formatCode="#\ ?/4"/>
    <numFmt numFmtId="183" formatCode="[$-409]m/d/yy\ h:mm\ AM/PM;@"/>
    <numFmt numFmtId="184" formatCode="0.0%"/>
    <numFmt numFmtId="185" formatCode="0.000%"/>
    <numFmt numFmtId="186" formatCode="0.0000000000"/>
    <numFmt numFmtId="187" formatCode="0.00000000000"/>
    <numFmt numFmtId="188" formatCode="0.000000000000"/>
    <numFmt numFmtId="189" formatCode="0.000000000"/>
    <numFmt numFmtId="190" formatCode="_(* #,##0_);_(* \(#,##0\);_(* &quot;-&quot;??_);_(@_)"/>
    <numFmt numFmtId="191" formatCode="[$-409]dddd\,\ mmmm\ dd\,\ yyyy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3">
    <font>
      <sz val="10"/>
      <name val="Arial"/>
      <family val="0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Lucida Console"/>
      <family val="3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0" fillId="0" borderId="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9" fontId="0" fillId="2" borderId="0" xfId="0" applyNumberFormat="1" applyFont="1" applyFill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73" fontId="0" fillId="2" borderId="0" xfId="0" applyNumberFormat="1" applyFont="1" applyFill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76" fontId="0" fillId="2" borderId="0" xfId="0" applyNumberFormat="1" applyFont="1" applyFill="1" applyAlignment="1">
      <alignment/>
    </xf>
    <xf numFmtId="176" fontId="0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left"/>
    </xf>
    <xf numFmtId="1" fontId="0" fillId="0" borderId="0" xfId="0" applyNumberFormat="1" applyFill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190" fontId="0" fillId="3" borderId="0" xfId="15" applyNumberFormat="1" applyFill="1" applyAlignment="1" applyProtection="1">
      <alignment horizontal="center"/>
      <protection locked="0"/>
    </xf>
    <xf numFmtId="190" fontId="0" fillId="4" borderId="0" xfId="15" applyNumberFormat="1" applyFill="1" applyAlignment="1" applyProtection="1">
      <alignment horizontal="right"/>
      <protection locked="0"/>
    </xf>
    <xf numFmtId="190" fontId="18" fillId="5" borderId="0" xfId="15" applyNumberFormat="1" applyFont="1" applyFill="1" applyAlignment="1" applyProtection="1">
      <alignment horizontal="right"/>
      <protection locked="0"/>
    </xf>
    <xf numFmtId="174" fontId="18" fillId="5" borderId="0" xfId="15" applyNumberFormat="1" applyFont="1" applyFill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17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0" fontId="20" fillId="0" borderId="0" xfId="21" applyNumberFormat="1" applyFont="1" applyFill="1" applyAlignment="1">
      <alignment/>
    </xf>
    <xf numFmtId="2" fontId="20" fillId="0" borderId="0" xfId="21" applyNumberFormat="1" applyFont="1" applyFill="1" applyAlignment="1">
      <alignment/>
    </xf>
    <xf numFmtId="175" fontId="20" fillId="0" borderId="0" xfId="21" applyNumberFormat="1" applyFont="1" applyFill="1" applyAlignment="1">
      <alignment/>
    </xf>
    <xf numFmtId="44" fontId="0" fillId="0" borderId="0" xfId="0" applyNumberFormat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0" fontId="0" fillId="6" borderId="0" xfId="0" applyFill="1" applyAlignment="1">
      <alignment/>
    </xf>
    <xf numFmtId="175" fontId="0" fillId="0" borderId="0" xfId="0" applyNumberFormat="1" applyAlignment="1" applyProtection="1">
      <alignment horizontal="center"/>
      <protection/>
    </xf>
    <xf numFmtId="0" fontId="16" fillId="0" borderId="0" xfId="0" applyFont="1" applyBorder="1" applyAlignment="1">
      <alignment horizontal="left" vertical="center" wrapText="1"/>
    </xf>
    <xf numFmtId="175" fontId="16" fillId="0" borderId="0" xfId="0" applyNumberFormat="1" applyFont="1" applyBorder="1" applyAlignment="1">
      <alignment horizontal="left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7" fontId="0" fillId="0" borderId="0" xfId="0" applyNumberFormat="1" applyAlignment="1">
      <alignment/>
    </xf>
    <xf numFmtId="0" fontId="18" fillId="2" borderId="0" xfId="0" applyFont="1" applyFill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2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0" xfId="0" applyFill="1" applyAlignment="1">
      <alignment/>
    </xf>
    <xf numFmtId="43" fontId="0" fillId="6" borderId="0" xfId="0" applyNumberFormat="1" applyFill="1" applyAlignment="1">
      <alignment/>
    </xf>
    <xf numFmtId="0" fontId="21" fillId="0" borderId="2" xfId="0" applyFont="1" applyFill="1" applyBorder="1" applyAlignment="1">
      <alignment horizontal="centerContinuous"/>
    </xf>
    <xf numFmtId="0" fontId="0" fillId="6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6" borderId="1" xfId="0" applyFill="1" applyBorder="1" applyAlignment="1">
      <alignment/>
    </xf>
    <xf numFmtId="175" fontId="0" fillId="6" borderId="1" xfId="0" applyNumberFormat="1" applyFill="1" applyBorder="1" applyAlignment="1">
      <alignment horizontal="right"/>
    </xf>
    <xf numFmtId="177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right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4" fontId="4" fillId="0" borderId="0" xfId="0" applyNumberFormat="1" applyFont="1" applyAlignment="1">
      <alignment horizontal="right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6" borderId="0" xfId="0" applyFill="1" applyBorder="1" applyAlignment="1">
      <alignment/>
    </xf>
    <xf numFmtId="194" fontId="0" fillId="6" borderId="0" xfId="17" applyNumberForma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83" fontId="0" fillId="0" borderId="0" xfId="0" applyNumberFormat="1" applyFont="1" applyFill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6" borderId="7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190" fontId="0" fillId="2" borderId="0" xfId="15" applyNumberFormat="1" applyFill="1" applyAlignment="1" applyProtection="1">
      <alignment horizontal="center"/>
      <protection locked="0"/>
    </xf>
    <xf numFmtId="190" fontId="0" fillId="0" borderId="0" xfId="15" applyNumberForma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95" fontId="0" fillId="0" borderId="0" xfId="17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43" fontId="0" fillId="0" borderId="0" xfId="15" applyFill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Fill="1" applyAlignment="1">
      <alignment/>
    </xf>
    <xf numFmtId="178" fontId="4" fillId="0" borderId="0" xfId="0" applyNumberFormat="1" applyFont="1" applyAlignment="1">
      <alignment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90" fontId="0" fillId="2" borderId="1" xfId="15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 horizontal="center"/>
      <protection locked="0"/>
    </xf>
    <xf numFmtId="190" fontId="0" fillId="0" borderId="1" xfId="15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90" fontId="0" fillId="2" borderId="0" xfId="15" applyNumberFormat="1" applyFont="1" applyFill="1" applyAlignment="1" applyProtection="1">
      <alignment horizontal="center"/>
      <protection locked="0"/>
    </xf>
    <xf numFmtId="190" fontId="22" fillId="0" borderId="0" xfId="15" applyNumberFormat="1" applyFont="1" applyFill="1" applyAlignment="1" applyProtection="1">
      <alignment horizontal="center"/>
      <protection locked="0"/>
    </xf>
    <xf numFmtId="174" fontId="18" fillId="5" borderId="1" xfId="15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17"/>
          <c:w val="0.92925"/>
          <c:h val="0.895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'Moving Average'!$C$8:$C$27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'Moving Average'!$D$8:$D$27</c:f>
              <c:numCache>
                <c:ptCount val="20"/>
                <c:pt idx="0">
                  <c:v>12</c:v>
                </c:pt>
                <c:pt idx="1">
                  <c:v>11</c:v>
                </c:pt>
                <c:pt idx="2">
                  <c:v>15</c:v>
                </c:pt>
                <c:pt idx="3">
                  <c:v>12</c:v>
                </c:pt>
                <c:pt idx="4">
                  <c:v>16</c:v>
                </c:pt>
                <c:pt idx="5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'Moving Average'!$K$22:$K$23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'Moving Average'!$L$22:$L$23</c:f>
              <c:numCache>
                <c:ptCount val="2"/>
                <c:pt idx="0">
                  <c:v>0</c:v>
                </c:pt>
                <c:pt idx="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Average'!$C$8:$C$27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'Moving Average'!$R$8:$R$27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12.666666666666666</c:v>
                </c:pt>
                <c:pt idx="4">
                  <c:v>12.666666666666666</c:v>
                </c:pt>
                <c:pt idx="5">
                  <c:v>14.333333333333334</c:v>
                </c:pt>
                <c:pt idx="6">
                  <c:v>14.333333333333334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</c:ser>
        <c:axId val="29393194"/>
        <c:axId val="63212155"/>
      </c:scatterChart>
      <c:valAx>
        <c:axId val="293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12155"/>
        <c:crosses val="autoZero"/>
        <c:crossBetween val="midCat"/>
        <c:dispUnits/>
        <c:majorUnit val="1"/>
      </c:valAx>
      <c:valAx>
        <c:axId val="632121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2939319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75"/>
          <c:w val="0.95775"/>
          <c:h val="0.90225"/>
        </c:manualLayout>
      </c:layout>
      <c:lineChart>
        <c:grouping val="standard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Exponential!$B$5:$B$22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Exponential!$C$5:$C$23</c:f>
              <c:numCache>
                <c:ptCount val="19"/>
                <c:pt idx="0">
                  <c:v>100</c:v>
                </c:pt>
                <c:pt idx="1">
                  <c:v>94</c:v>
                </c:pt>
                <c:pt idx="2">
                  <c:v>106</c:v>
                </c:pt>
                <c:pt idx="3">
                  <c:v>80</c:v>
                </c:pt>
                <c:pt idx="4">
                  <c:v>68</c:v>
                </c:pt>
                <c:pt idx="5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Exponential!$B$5:$B$22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Exponential!$R$5:$R$22</c:f>
              <c:numCache>
                <c:ptCount val="18"/>
                <c:pt idx="0">
                  <c:v>80</c:v>
                </c:pt>
                <c:pt idx="1">
                  <c:v>84</c:v>
                </c:pt>
                <c:pt idx="2">
                  <c:v>86</c:v>
                </c:pt>
                <c:pt idx="3">
                  <c:v>90</c:v>
                </c:pt>
                <c:pt idx="4">
                  <c:v>88</c:v>
                </c:pt>
                <c:pt idx="5">
                  <c:v>84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</c:ser>
        <c:marker val="1"/>
        <c:axId val="32038484"/>
        <c:axId val="19910901"/>
      </c:lineChart>
      <c:scatterChart>
        <c:scatterStyle val="lineMarker"/>
        <c:varyColors val="0"/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Exponential!$I$20:$I$21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Exponential!$J$20:$J$21</c:f>
              <c:numCache>
                <c:ptCount val="2"/>
                <c:pt idx="0">
                  <c:v>0</c:v>
                </c:pt>
                <c:pt idx="1">
                  <c:v>84</c:v>
                </c:pt>
              </c:numCache>
            </c:numRef>
          </c:yVal>
          <c:smooth val="0"/>
        </c:ser>
        <c:axId val="32038484"/>
        <c:axId val="19910901"/>
      </c:scatterChart>
      <c:catAx>
        <c:axId val="3203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910901"/>
        <c:crosses val="autoZero"/>
        <c:auto val="1"/>
        <c:lblOffset val="100"/>
        <c:noMultiLvlLbl val="0"/>
      </c:catAx>
      <c:valAx>
        <c:axId val="199109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3203848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825"/>
          <c:w val="0.917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LeastSqRegression!$B$9:$B$20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LeastSqRegression!$C$9:$C$20</c:f>
              <c:numCache>
                <c:ptCount val="12"/>
                <c:pt idx="0">
                  <c:v>568.99</c:v>
                </c:pt>
                <c:pt idx="1">
                  <c:v>564.09</c:v>
                </c:pt>
                <c:pt idx="2">
                  <c:v>578.92</c:v>
                </c:pt>
                <c:pt idx="3">
                  <c:v>587.79</c:v>
                </c:pt>
                <c:pt idx="4">
                  <c:v>789.01</c:v>
                </c:pt>
                <c:pt idx="5">
                  <c:v>793.91</c:v>
                </c:pt>
                <c:pt idx="6">
                  <c:v>779.08</c:v>
                </c:pt>
                <c:pt idx="7">
                  <c:v>770</c:v>
                </c:pt>
              </c:numCache>
            </c:numRef>
          </c:yVal>
          <c:smooth val="0"/>
        </c:ser>
        <c:ser>
          <c:idx val="1"/>
          <c:order val="1"/>
          <c:tx>
            <c:v>Trend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LeastSqRegression!$B$9:$B$20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LeastSqRegression!$G$9:$G$20</c:f>
              <c:numCache>
                <c:ptCount val="12"/>
                <c:pt idx="0">
                  <c:v>540.2983333333334</c:v>
                </c:pt>
                <c:pt idx="1">
                  <c:v>579.9198809523809</c:v>
                </c:pt>
                <c:pt idx="2">
                  <c:v>619.5414285714286</c:v>
                </c:pt>
                <c:pt idx="3">
                  <c:v>659.1629761904762</c:v>
                </c:pt>
                <c:pt idx="4">
                  <c:v>698.7845238095238</c:v>
                </c:pt>
                <c:pt idx="5">
                  <c:v>738.4060714285714</c:v>
                </c:pt>
                <c:pt idx="6">
                  <c:v>778.027619047619</c:v>
                </c:pt>
                <c:pt idx="7">
                  <c:v>817.6491666666666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4980382"/>
        <c:axId val="2170255"/>
      </c:scatterChart>
      <c:val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0255"/>
        <c:crosses val="autoZero"/>
        <c:crossBetween val="midCat"/>
        <c:dispUnits/>
      </c:valAx>
      <c:valAx>
        <c:axId val="217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038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661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14</xdr:row>
      <xdr:rowOff>171450</xdr:rowOff>
    </xdr:from>
    <xdr:to>
      <xdr:col>14</xdr:col>
      <xdr:colOff>1133475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00475" y="2781300"/>
        <a:ext cx="54959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38100</xdr:colOff>
      <xdr:row>32</xdr:row>
      <xdr:rowOff>180975</xdr:rowOff>
    </xdr:from>
    <xdr:to>
      <xdr:col>11</xdr:col>
      <xdr:colOff>209550</xdr:colOff>
      <xdr:row>33</xdr:row>
      <xdr:rowOff>123825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6400800"/>
          <a:ext cx="1781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</xdr:row>
      <xdr:rowOff>19050</xdr:rowOff>
    </xdr:from>
    <xdr:to>
      <xdr:col>12</xdr:col>
      <xdr:colOff>390525</xdr:colOff>
      <xdr:row>8</xdr:row>
      <xdr:rowOff>200025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428750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10</xdr:row>
      <xdr:rowOff>66675</xdr:rowOff>
    </xdr:from>
    <xdr:to>
      <xdr:col>13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067050" y="2019300"/>
        <a:ext cx="5048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38100</xdr:colOff>
      <xdr:row>5</xdr:row>
      <xdr:rowOff>28575</xdr:rowOff>
    </xdr:from>
    <xdr:to>
      <xdr:col>10</xdr:col>
      <xdr:colOff>390525</xdr:colOff>
      <xdr:row>5</xdr:row>
      <xdr:rowOff>200025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9810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28</xdr:row>
      <xdr:rowOff>47625</xdr:rowOff>
    </xdr:from>
    <xdr:to>
      <xdr:col>9</xdr:col>
      <xdr:colOff>457200</xdr:colOff>
      <xdr:row>29</xdr:row>
      <xdr:rowOff>57150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561022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32</xdr:row>
      <xdr:rowOff>47625</xdr:rowOff>
    </xdr:from>
    <xdr:to>
      <xdr:col>8</xdr:col>
      <xdr:colOff>142875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09625" y="5257800"/>
        <a:ext cx="5019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%20380\BA380\Interactive%20Models\Time%20Series%20_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g Average"/>
      <sheetName val="Exponential"/>
      <sheetName val="Linear Model"/>
      <sheetName val="TrendAdjusted"/>
    </sheetNames>
    <sheetDataSet>
      <sheetData sheetId="2">
        <row r="6">
          <cell r="AH6">
            <v>1</v>
          </cell>
          <cell r="AI6">
            <v>0</v>
          </cell>
        </row>
        <row r="8">
          <cell r="C8">
            <v>1</v>
          </cell>
          <cell r="D8">
            <v>220</v>
          </cell>
          <cell r="AX8">
            <v>0.1</v>
          </cell>
        </row>
        <row r="9">
          <cell r="C9">
            <v>2</v>
          </cell>
          <cell r="D9">
            <v>245</v>
          </cell>
          <cell r="AH9">
            <v>2</v>
          </cell>
          <cell r="AI9">
            <v>0</v>
          </cell>
          <cell r="AX9">
            <v>0.929686427116394</v>
          </cell>
        </row>
        <row r="10">
          <cell r="C10">
            <v>3</v>
          </cell>
          <cell r="D10">
            <v>280</v>
          </cell>
          <cell r="AX10">
            <v>0.9</v>
          </cell>
        </row>
        <row r="11">
          <cell r="C11">
            <v>4</v>
          </cell>
          <cell r="D11">
            <v>275</v>
          </cell>
          <cell r="AX11">
            <v>0.01</v>
          </cell>
        </row>
        <row r="12">
          <cell r="C12">
            <v>5</v>
          </cell>
          <cell r="D12">
            <v>300</v>
          </cell>
          <cell r="AX12">
            <v>10313</v>
          </cell>
        </row>
        <row r="13">
          <cell r="C13">
            <v>6</v>
          </cell>
          <cell r="D13">
            <v>310</v>
          </cell>
          <cell r="AH13">
            <v>1</v>
          </cell>
          <cell r="AI13">
            <v>0</v>
          </cell>
        </row>
        <row r="14">
          <cell r="C14">
            <v>7</v>
          </cell>
          <cell r="D14">
            <v>350</v>
          </cell>
          <cell r="AX14">
            <v>205907.2033938849</v>
          </cell>
        </row>
        <row r="15">
          <cell r="C15">
            <v>8</v>
          </cell>
          <cell r="D15">
            <v>360</v>
          </cell>
          <cell r="AX15">
            <v>187374.7966061151</v>
          </cell>
        </row>
        <row r="16">
          <cell r="C16">
            <v>9</v>
          </cell>
          <cell r="D16">
            <v>350</v>
          </cell>
        </row>
        <row r="17">
          <cell r="C17">
            <v>10</v>
          </cell>
          <cell r="D17">
            <v>380</v>
          </cell>
        </row>
        <row r="18">
          <cell r="C18">
            <v>11</v>
          </cell>
          <cell r="D18">
            <v>420</v>
          </cell>
        </row>
        <row r="19">
          <cell r="C19">
            <v>12</v>
          </cell>
          <cell r="D19">
            <v>450</v>
          </cell>
          <cell r="AH19">
            <v>205.2156862745098</v>
          </cell>
          <cell r="AI19">
            <v>0</v>
          </cell>
        </row>
        <row r="20">
          <cell r="C20">
            <v>13</v>
          </cell>
          <cell r="D20">
            <v>460</v>
          </cell>
        </row>
        <row r="21">
          <cell r="C21">
            <v>14</v>
          </cell>
          <cell r="D21">
            <v>475</v>
          </cell>
          <cell r="AH21">
            <v>19.04747162022704</v>
          </cell>
          <cell r="AI21">
            <v>0</v>
          </cell>
        </row>
        <row r="22">
          <cell r="C22">
            <v>15</v>
          </cell>
          <cell r="D22">
            <v>500</v>
          </cell>
        </row>
        <row r="23">
          <cell r="C23">
            <v>16</v>
          </cell>
          <cell r="D23">
            <v>510</v>
          </cell>
          <cell r="AH23">
            <v>0.994200036275562</v>
          </cell>
          <cell r="BC23">
            <v>205.2156862745098</v>
          </cell>
        </row>
        <row r="24">
          <cell r="C24">
            <v>17</v>
          </cell>
          <cell r="D24">
            <v>525</v>
          </cell>
          <cell r="BC24">
            <v>19.04747162022704</v>
          </cell>
        </row>
        <row r="25">
          <cell r="C25">
            <v>18</v>
          </cell>
          <cell r="D25">
            <v>541</v>
          </cell>
          <cell r="AH25">
            <v>0.9884337121303287</v>
          </cell>
          <cell r="BC25">
            <v>9228.5</v>
          </cell>
        </row>
        <row r="26">
          <cell r="BC26">
            <v>484.5</v>
          </cell>
        </row>
        <row r="27">
          <cell r="AH27">
            <v>19.04747162022704</v>
          </cell>
          <cell r="BC27">
            <v>177836.5</v>
          </cell>
        </row>
        <row r="30">
          <cell r="AH30">
            <v>0.9884337121303287</v>
          </cell>
        </row>
        <row r="34">
          <cell r="AH34" t="str">
            <v>0.0000</v>
          </cell>
          <cell r="BB34">
            <v>1</v>
          </cell>
          <cell r="BC34">
            <v>220</v>
          </cell>
          <cell r="BD34">
            <v>1</v>
          </cell>
          <cell r="BE34">
            <v>48400</v>
          </cell>
          <cell r="BF34">
            <v>220</v>
          </cell>
          <cell r="BG34">
            <v>386.1666666666667</v>
          </cell>
        </row>
        <row r="35">
          <cell r="BB35">
            <v>2</v>
          </cell>
          <cell r="BC35">
            <v>245</v>
          </cell>
          <cell r="BD35">
            <v>4</v>
          </cell>
          <cell r="BE35">
            <v>60025</v>
          </cell>
          <cell r="BF35">
            <v>490</v>
          </cell>
          <cell r="BG35">
            <v>386.1666666666667</v>
          </cell>
          <cell r="BL35" t="str">
            <v>SUMMARY OUTPUT</v>
          </cell>
        </row>
        <row r="36">
          <cell r="AH36">
            <v>1</v>
          </cell>
          <cell r="BB36">
            <v>3</v>
          </cell>
          <cell r="BC36">
            <v>280</v>
          </cell>
          <cell r="BD36">
            <v>9</v>
          </cell>
          <cell r="BE36">
            <v>78400</v>
          </cell>
          <cell r="BF36">
            <v>840</v>
          </cell>
          <cell r="BG36">
            <v>386.1666666666667</v>
          </cell>
        </row>
        <row r="37">
          <cell r="BB37">
            <v>4</v>
          </cell>
          <cell r="BC37">
            <v>275</v>
          </cell>
          <cell r="BD37">
            <v>16</v>
          </cell>
          <cell r="BE37">
            <v>75625</v>
          </cell>
          <cell r="BF37">
            <v>1100</v>
          </cell>
          <cell r="BG37">
            <v>386.1666666666667</v>
          </cell>
          <cell r="BL37" t="str">
            <v>Regression Statistics</v>
          </cell>
        </row>
        <row r="38">
          <cell r="AH38">
            <v>1367.330605315023</v>
          </cell>
          <cell r="BB38">
            <v>5</v>
          </cell>
          <cell r="BC38">
            <v>300</v>
          </cell>
          <cell r="BD38">
            <v>25</v>
          </cell>
          <cell r="BE38">
            <v>90000</v>
          </cell>
          <cell r="BF38">
            <v>1500</v>
          </cell>
          <cell r="BG38">
            <v>386.1666666666667</v>
          </cell>
          <cell r="BL38" t="str">
            <v>Multiple R</v>
          </cell>
          <cell r="BM38">
            <v>0.994200036275562</v>
          </cell>
        </row>
        <row r="39">
          <cell r="BB39">
            <v>6</v>
          </cell>
          <cell r="BC39">
            <v>310</v>
          </cell>
          <cell r="BD39">
            <v>36</v>
          </cell>
          <cell r="BE39">
            <v>96100</v>
          </cell>
          <cell r="BF39">
            <v>1860</v>
          </cell>
          <cell r="BG39">
            <v>386.1666666666667</v>
          </cell>
          <cell r="BL39" t="str">
            <v>R Square</v>
          </cell>
          <cell r="BM39">
            <v>0.9884337121303287</v>
          </cell>
        </row>
        <row r="40">
          <cell r="AH40">
            <v>3.048114649573108</v>
          </cell>
          <cell r="BB40">
            <v>7</v>
          </cell>
          <cell r="BC40">
            <v>350</v>
          </cell>
          <cell r="BD40">
            <v>49</v>
          </cell>
          <cell r="BE40">
            <v>122500</v>
          </cell>
          <cell r="BF40">
            <v>2450</v>
          </cell>
          <cell r="BG40">
            <v>386.1666666666667</v>
          </cell>
          <cell r="BL40" t="str">
            <v>Standard Error</v>
          </cell>
          <cell r="BM40">
            <v>11.338287328601412</v>
          </cell>
        </row>
        <row r="41">
          <cell r="BB41">
            <v>8</v>
          </cell>
          <cell r="BC41">
            <v>360</v>
          </cell>
          <cell r="BD41">
            <v>64</v>
          </cell>
          <cell r="BE41">
            <v>129600</v>
          </cell>
          <cell r="BF41">
            <v>2880</v>
          </cell>
          <cell r="BG41">
            <v>386.1666666666667</v>
          </cell>
          <cell r="BL41" t="str">
            <v>Observations</v>
          </cell>
          <cell r="BM41">
            <v>18</v>
          </cell>
        </row>
        <row r="42">
          <cell r="AH42">
            <v>196641</v>
          </cell>
          <cell r="BB42">
            <v>9</v>
          </cell>
          <cell r="BC42">
            <v>350</v>
          </cell>
          <cell r="BD42">
            <v>81</v>
          </cell>
          <cell r="BE42">
            <v>122500</v>
          </cell>
          <cell r="BF42">
            <v>3150</v>
          </cell>
          <cell r="BG42">
            <v>386.1666666666667</v>
          </cell>
        </row>
        <row r="43">
          <cell r="BB43">
            <v>10</v>
          </cell>
          <cell r="BC43">
            <v>380</v>
          </cell>
          <cell r="BD43">
            <v>100</v>
          </cell>
          <cell r="BE43">
            <v>144400</v>
          </cell>
          <cell r="BF43">
            <v>3800</v>
          </cell>
          <cell r="BG43">
            <v>386.1666666666667</v>
          </cell>
        </row>
        <row r="44">
          <cell r="BB44">
            <v>11</v>
          </cell>
          <cell r="BC44">
            <v>420</v>
          </cell>
          <cell r="BD44">
            <v>121</v>
          </cell>
          <cell r="BE44">
            <v>176400</v>
          </cell>
          <cell r="BF44">
            <v>4620</v>
          </cell>
          <cell r="BG44">
            <v>386.1666666666667</v>
          </cell>
          <cell r="BL44" t="str">
            <v>ANOVA</v>
          </cell>
        </row>
        <row r="45">
          <cell r="AH45">
            <v>187374.7966061151</v>
          </cell>
          <cell r="BB45">
            <v>12</v>
          </cell>
          <cell r="BC45">
            <v>450</v>
          </cell>
          <cell r="BD45">
            <v>144</v>
          </cell>
          <cell r="BE45">
            <v>202500</v>
          </cell>
          <cell r="BF45">
            <v>5400</v>
          </cell>
          <cell r="BG45">
            <v>386.1666666666667</v>
          </cell>
          <cell r="BL45" t="str">
            <v>Source of Variation</v>
          </cell>
          <cell r="BM45" t="str">
            <v>Sum Of Squares</v>
          </cell>
          <cell r="BN45" t="str">
            <v>df</v>
          </cell>
          <cell r="BO45" t="str">
            <v>MS</v>
          </cell>
          <cell r="BP45" t="str">
            <v>F</v>
          </cell>
          <cell r="BQ45" t="str">
            <v>significance f</v>
          </cell>
          <cell r="BR45" t="str">
            <v>critical_f</v>
          </cell>
        </row>
        <row r="46">
          <cell r="BB46">
            <v>13</v>
          </cell>
          <cell r="BC46">
            <v>460</v>
          </cell>
          <cell r="BD46">
            <v>169</v>
          </cell>
          <cell r="BE46">
            <v>211600</v>
          </cell>
          <cell r="BF46">
            <v>5980</v>
          </cell>
          <cell r="BG46">
            <v>386.1666666666667</v>
          </cell>
          <cell r="BL46" t="str">
            <v>Regression</v>
          </cell>
          <cell r="BM46">
            <v>175779.59184726523</v>
          </cell>
          <cell r="BN46">
            <v>1</v>
          </cell>
          <cell r="BO46">
            <v>175779.59184726523</v>
          </cell>
          <cell r="BP46">
            <v>1367.330605315023</v>
          </cell>
          <cell r="BQ46" t="str">
            <v>0.0000</v>
          </cell>
          <cell r="BR46">
            <v>3.048114649573108</v>
          </cell>
        </row>
        <row r="47">
          <cell r="BB47">
            <v>14</v>
          </cell>
          <cell r="BC47">
            <v>475</v>
          </cell>
          <cell r="BD47">
            <v>196</v>
          </cell>
          <cell r="BE47">
            <v>225625</v>
          </cell>
          <cell r="BF47">
            <v>6650</v>
          </cell>
          <cell r="BG47">
            <v>386.1666666666667</v>
          </cell>
          <cell r="BL47" t="str">
            <v>Error</v>
          </cell>
          <cell r="BM47">
            <v>2056.9081527347735</v>
          </cell>
          <cell r="BN47">
            <v>16</v>
          </cell>
          <cell r="BO47">
            <v>128.55675954592334</v>
          </cell>
        </row>
        <row r="48">
          <cell r="BB48">
            <v>15</v>
          </cell>
          <cell r="BC48">
            <v>500</v>
          </cell>
          <cell r="BD48">
            <v>225</v>
          </cell>
          <cell r="BE48">
            <v>250000</v>
          </cell>
          <cell r="BF48">
            <v>7500</v>
          </cell>
          <cell r="BG48">
            <v>386.1666666666667</v>
          </cell>
          <cell r="BL48" t="str">
            <v>Total</v>
          </cell>
          <cell r="BM48">
            <v>177836.5</v>
          </cell>
          <cell r="BN48">
            <v>17</v>
          </cell>
        </row>
        <row r="49">
          <cell r="BB49">
            <v>16</v>
          </cell>
          <cell r="BC49">
            <v>510</v>
          </cell>
          <cell r="BD49">
            <v>256</v>
          </cell>
          <cell r="BE49">
            <v>260100</v>
          </cell>
          <cell r="BF49">
            <v>8160</v>
          </cell>
          <cell r="BG49">
            <v>386.1666666666667</v>
          </cell>
        </row>
        <row r="50">
          <cell r="AH50">
            <v>205907.2033938849</v>
          </cell>
          <cell r="BB50">
            <v>17</v>
          </cell>
          <cell r="BC50">
            <v>525</v>
          </cell>
          <cell r="BD50">
            <v>289</v>
          </cell>
          <cell r="BE50">
            <v>275625</v>
          </cell>
          <cell r="BF50">
            <v>8925</v>
          </cell>
          <cell r="BG50">
            <v>386.1666666666667</v>
          </cell>
          <cell r="BM50" t="str">
            <v>Coefficients</v>
          </cell>
          <cell r="BN50" t="str">
            <v>Standard Error</v>
          </cell>
          <cell r="BO50" t="str">
            <v>t Stat</v>
          </cell>
          <cell r="BP50" t="str">
            <v>P-value</v>
          </cell>
          <cell r="BQ50" t="str">
            <v>Lower Limit</v>
          </cell>
          <cell r="BR50" t="str">
            <v>Upper Limit</v>
          </cell>
        </row>
        <row r="51">
          <cell r="BB51">
            <v>18</v>
          </cell>
          <cell r="BC51">
            <v>541</v>
          </cell>
          <cell r="BD51">
            <v>324</v>
          </cell>
          <cell r="BE51">
            <v>292681</v>
          </cell>
          <cell r="BF51">
            <v>9738</v>
          </cell>
          <cell r="BG51">
            <v>386.1666666666667</v>
          </cell>
          <cell r="BL51" t="str">
            <v>Intercept</v>
          </cell>
          <cell r="BM51">
            <v>205.2156862745098</v>
          </cell>
          <cell r="BN51">
            <v>5.575741167180668</v>
          </cell>
          <cell r="BO51">
            <v>36.80509552387913</v>
          </cell>
          <cell r="BP51">
            <v>6.807689199794356E-17</v>
          </cell>
          <cell r="BQ51">
            <v>195.48108775917342</v>
          </cell>
          <cell r="BR51">
            <v>214.9502847898462</v>
          </cell>
        </row>
        <row r="52"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L52" t="str">
            <v>Advertising Exp</v>
          </cell>
          <cell r="BM52">
            <v>19.04747162022704</v>
          </cell>
          <cell r="BN52">
            <v>0.5151106958611458</v>
          </cell>
          <cell r="BO52">
            <v>36.97743373079077</v>
          </cell>
          <cell r="BP52">
            <v>6.32258811353491E-17</v>
          </cell>
          <cell r="BQ52">
            <v>18.148147985069976</v>
          </cell>
          <cell r="BR52">
            <v>19.946795255384103</v>
          </cell>
        </row>
        <row r="53"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</row>
        <row r="54">
          <cell r="AH54">
            <v>18.148147985069976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</row>
        <row r="55"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L55" t="str">
            <v>90% Prediction Interval Estimate</v>
          </cell>
        </row>
        <row r="56"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L56" t="str">
            <v>   Upper Limit</v>
          </cell>
          <cell r="BM56">
            <v>205907.2033938849</v>
          </cell>
        </row>
        <row r="57">
          <cell r="AH57">
            <v>19.946795255384103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L57" t="str">
            <v>   Lower Limit</v>
          </cell>
          <cell r="BM57">
            <v>187374.7966061151</v>
          </cell>
        </row>
        <row r="58"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</row>
        <row r="59"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</row>
        <row r="60"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</row>
        <row r="61">
          <cell r="AH61">
            <v>205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</row>
        <row r="62"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</row>
        <row r="63"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</row>
        <row r="64"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</row>
        <row r="65"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</row>
        <row r="66"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</row>
        <row r="67"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</row>
        <row r="68"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</row>
        <row r="69"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</row>
        <row r="70"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</row>
        <row r="71"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</row>
        <row r="72"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</row>
        <row r="73"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</row>
        <row r="74"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</row>
        <row r="75"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</row>
        <row r="76"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</row>
      </sheetData>
      <sheetData sheetId="3">
        <row r="8">
          <cell r="B8">
            <v>1</v>
          </cell>
          <cell r="C8">
            <v>210</v>
          </cell>
          <cell r="D8" t="str">
            <v/>
          </cell>
        </row>
        <row r="9">
          <cell r="B9">
            <v>2</v>
          </cell>
          <cell r="C9">
            <v>224</v>
          </cell>
          <cell r="D9" t="str">
            <v/>
          </cell>
        </row>
        <row r="10">
          <cell r="B10">
            <v>3</v>
          </cell>
          <cell r="C10">
            <v>229</v>
          </cell>
          <cell r="D10" t="str">
            <v/>
          </cell>
        </row>
        <row r="11">
          <cell r="B11">
            <v>4</v>
          </cell>
          <cell r="C11">
            <v>240</v>
          </cell>
          <cell r="D11" t="str">
            <v/>
          </cell>
        </row>
        <row r="12">
          <cell r="B12">
            <v>5</v>
          </cell>
          <cell r="C12">
            <v>255</v>
          </cell>
          <cell r="D12">
            <v>250</v>
          </cell>
        </row>
        <row r="13">
          <cell r="B13">
            <v>6</v>
          </cell>
          <cell r="C13">
            <v>265</v>
          </cell>
          <cell r="D13">
            <v>260.9</v>
          </cell>
        </row>
        <row r="14">
          <cell r="B14">
            <v>7</v>
          </cell>
          <cell r="C14">
            <v>272</v>
          </cell>
          <cell r="D14">
            <v>271.962</v>
          </cell>
        </row>
        <row r="15">
          <cell r="B15">
            <v>8</v>
          </cell>
          <cell r="C15">
            <v>285</v>
          </cell>
          <cell r="D15">
            <v>282.55852</v>
          </cell>
        </row>
        <row r="16">
          <cell r="B16">
            <v>9</v>
          </cell>
          <cell r="C16">
            <v>294</v>
          </cell>
          <cell r="D16">
            <v>293.5901288</v>
          </cell>
        </row>
        <row r="17">
          <cell r="B17">
            <v>10</v>
          </cell>
          <cell r="C17">
            <v>210</v>
          </cell>
          <cell r="D17">
            <v>304.41425592</v>
          </cell>
        </row>
        <row r="18">
          <cell r="B18">
            <v>11</v>
          </cell>
          <cell r="C18">
            <v>224</v>
          </cell>
          <cell r="D18">
            <v>298.19659981216</v>
          </cell>
        </row>
        <row r="19">
          <cell r="B19">
            <v>12</v>
          </cell>
          <cell r="C19">
            <v>229</v>
          </cell>
          <cell r="D19">
            <v>289.5000780201152</v>
          </cell>
        </row>
        <row r="20">
          <cell r="B20">
            <v>13</v>
          </cell>
          <cell r="C20">
            <v>240</v>
          </cell>
          <cell r="D20">
            <v>278.46099048281053</v>
          </cell>
        </row>
        <row r="21">
          <cell r="B21">
            <v>14</v>
          </cell>
          <cell r="C21">
            <v>255</v>
          </cell>
          <cell r="D21">
            <v>267.4685336465172</v>
          </cell>
        </row>
        <row r="22">
          <cell r="B22">
            <v>15</v>
          </cell>
          <cell r="C22">
            <v>265</v>
          </cell>
          <cell r="D22">
            <v>258.66244685747057</v>
          </cell>
        </row>
        <row r="23">
          <cell r="B23">
            <v>16</v>
          </cell>
          <cell r="C23">
            <v>272</v>
          </cell>
          <cell r="D23">
            <v>252.433494710158</v>
          </cell>
        </row>
        <row r="24">
          <cell r="B24">
            <v>17</v>
          </cell>
          <cell r="C24">
            <v>285</v>
          </cell>
          <cell r="D24">
            <v>248.9964273929976</v>
          </cell>
        </row>
        <row r="25">
          <cell r="B25">
            <v>18</v>
          </cell>
          <cell r="C25">
            <v>294</v>
          </cell>
          <cell r="D25">
            <v>249.7859417357078</v>
          </cell>
        </row>
        <row r="26">
          <cell r="B26">
            <v>19</v>
          </cell>
          <cell r="C26">
            <v>210</v>
          </cell>
          <cell r="D26">
            <v>254.38637500166396</v>
          </cell>
        </row>
        <row r="27">
          <cell r="B27">
            <v>20</v>
          </cell>
          <cell r="C27">
            <v>224</v>
          </cell>
          <cell r="D27">
            <v>245.90380125527412</v>
          </cell>
        </row>
        <row r="28">
          <cell r="B28">
            <v>21</v>
          </cell>
          <cell r="C28">
            <v>210</v>
          </cell>
          <cell r="D28">
            <v>238.59185368312663</v>
          </cell>
        </row>
        <row r="29">
          <cell r="B29">
            <v>22</v>
          </cell>
          <cell r="C29">
            <v>224</v>
          </cell>
          <cell r="D29">
            <v>228.65669035262394</v>
          </cell>
        </row>
        <row r="30">
          <cell r="B30">
            <v>23</v>
          </cell>
          <cell r="C30">
            <v>229</v>
          </cell>
          <cell r="D30">
            <v>221.1771043029451</v>
          </cell>
        </row>
        <row r="31">
          <cell r="B31">
            <v>24</v>
          </cell>
          <cell r="C31">
            <v>240</v>
          </cell>
          <cell r="D31">
            <v>215.64209020735845</v>
          </cell>
        </row>
        <row r="32">
          <cell r="B32">
            <v>25</v>
          </cell>
          <cell r="C32">
            <v>255</v>
          </cell>
          <cell r="D32">
            <v>213.59030229014655</v>
          </cell>
        </row>
        <row r="33">
          <cell r="B33">
            <v>26</v>
          </cell>
          <cell r="C33">
            <v>265</v>
          </cell>
          <cell r="D33">
            <v>216.18622875259598</v>
          </cell>
        </row>
        <row r="34">
          <cell r="B34">
            <v>27</v>
          </cell>
          <cell r="C34">
            <v>272</v>
          </cell>
          <cell r="D34">
            <v>222.79823686340302</v>
          </cell>
        </row>
        <row r="35">
          <cell r="B35">
            <v>28</v>
          </cell>
          <cell r="C35">
            <v>285</v>
          </cell>
          <cell r="D35">
            <v>232.64321589109656</v>
          </cell>
        </row>
        <row r="36">
          <cell r="B36">
            <v>29</v>
          </cell>
          <cell r="C36">
            <v>294</v>
          </cell>
          <cell r="D36">
            <v>246.24437294505674</v>
          </cell>
        </row>
        <row r="55">
          <cell r="D55">
            <v>18</v>
          </cell>
        </row>
        <row r="56">
          <cell r="D56">
            <v>36</v>
          </cell>
        </row>
        <row r="57">
          <cell r="D5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52"/>
  <sheetViews>
    <sheetView showGridLines="0" tabSelected="1" workbookViewId="0" topLeftCell="A2">
      <selection activeCell="G8" sqref="G8"/>
    </sheetView>
  </sheetViews>
  <sheetFormatPr defaultColWidth="9.140625" defaultRowHeight="12.75"/>
  <cols>
    <col min="1" max="1" width="4.57421875" style="0" customWidth="1"/>
    <col min="2" max="2" width="9.140625" style="49" customWidth="1"/>
    <col min="3" max="3" width="6.28125" style="38" customWidth="1"/>
    <col min="4" max="5" width="10.28125" style="0" customWidth="1"/>
    <col min="6" max="6" width="6.00390625" style="49" customWidth="1"/>
    <col min="7" max="7" width="5.421875" style="49" customWidth="1"/>
    <col min="8" max="8" width="8.8515625" style="0" customWidth="1"/>
    <col min="9" max="9" width="7.00390625" style="0" customWidth="1"/>
    <col min="10" max="10" width="8.8515625" style="38" customWidth="1"/>
    <col min="11" max="11" width="8.28125" style="0" customWidth="1"/>
    <col min="12" max="12" width="8.7109375" style="0" customWidth="1"/>
    <col min="13" max="13" width="11.140625" style="0" customWidth="1"/>
    <col min="14" max="15" width="17.57421875" style="0" customWidth="1"/>
    <col min="16" max="16" width="5.140625" style="0" customWidth="1"/>
    <col min="17" max="17" width="17.57421875" style="0" customWidth="1"/>
  </cols>
  <sheetData>
    <row r="1" ht="12.75">
      <c r="B1" s="50"/>
    </row>
    <row r="2" spans="2:3" ht="15.75">
      <c r="B2" s="50"/>
      <c r="C2" s="51"/>
    </row>
    <row r="3" spans="2:3" ht="12.75">
      <c r="B3" s="50"/>
      <c r="C3" s="53" t="s">
        <v>79</v>
      </c>
    </row>
    <row r="4" spans="2:7" ht="15">
      <c r="B4" s="50"/>
      <c r="C4" s="56"/>
      <c r="D4" s="57"/>
      <c r="E4" s="57"/>
      <c r="F4" s="57"/>
      <c r="G4" s="57"/>
    </row>
    <row r="5" spans="4:5" ht="12.75">
      <c r="D5" s="49"/>
      <c r="E5" s="49"/>
    </row>
    <row r="6" spans="3:16" ht="12.75">
      <c r="C6" s="60"/>
      <c r="D6" s="60"/>
      <c r="E6" s="60"/>
      <c r="F6" s="61"/>
      <c r="G6" s="61"/>
      <c r="I6" s="49"/>
      <c r="J6" s="58"/>
      <c r="K6" s="49"/>
      <c r="L6" s="49"/>
      <c r="O6" s="38"/>
      <c r="P6" s="38"/>
    </row>
    <row r="7" spans="2:23" ht="13.5" thickBot="1">
      <c r="B7" s="61"/>
      <c r="C7" s="150" t="s">
        <v>18</v>
      </c>
      <c r="D7" s="151" t="s">
        <v>81</v>
      </c>
      <c r="E7" s="151" t="s">
        <v>27</v>
      </c>
      <c r="F7" s="61"/>
      <c r="N7" s="49"/>
      <c r="O7" s="58"/>
      <c r="P7" s="58"/>
      <c r="R7" s="61" t="s">
        <v>27</v>
      </c>
      <c r="S7" s="49"/>
      <c r="T7" s="49"/>
      <c r="U7" s="61" t="s">
        <v>43</v>
      </c>
      <c r="V7" s="61" t="s">
        <v>80</v>
      </c>
      <c r="W7" s="61"/>
    </row>
    <row r="8" spans="2:23" ht="15.75">
      <c r="B8" s="65"/>
      <c r="C8" s="133">
        <v>1</v>
      </c>
      <c r="D8" s="132">
        <v>12</v>
      </c>
      <c r="E8" s="133">
        <f aca="true" t="shared" si="0" ref="E8:E27">IF(ISNA(R8),"",R8)</f>
      </c>
      <c r="F8" s="164">
        <f aca="true" t="shared" si="1" ref="F8:F27">IF(C8=Time_Period,"«««","")</f>
      </c>
      <c r="N8" s="49"/>
      <c r="O8" s="58"/>
      <c r="P8" s="58"/>
      <c r="R8" s="142" t="e">
        <v>#N/A</v>
      </c>
      <c r="S8" s="141" t="e">
        <f aca="true" t="shared" si="2" ref="S8:S27">IF(OR(ISBLANK(D8),ISNA(R8)),#N/A,D8-R8)</f>
        <v>#N/A</v>
      </c>
      <c r="T8" s="141">
        <f aca="true" t="shared" si="3" ref="T8:T27">IF(ISNA(S8),"",S8)</f>
      </c>
      <c r="U8">
        <f aca="true" t="shared" si="4" ref="U8:U27">IF(ISNA(S8),"",ABS(S8))</f>
      </c>
      <c r="V8">
        <f aca="true" t="shared" si="5" ref="V8:V27">IF(ISNA(S8),"",S8^2)</f>
      </c>
      <c r="W8" s="66"/>
    </row>
    <row r="9" spans="2:23" ht="15.75">
      <c r="B9" s="65"/>
      <c r="C9" s="133">
        <f aca="true" t="shared" si="6" ref="C9:C27">IF(D9="","",C8+1)</f>
        <v>2</v>
      </c>
      <c r="D9" s="132">
        <v>11</v>
      </c>
      <c r="E9" s="133">
        <f t="shared" si="0"/>
      </c>
      <c r="F9" s="164">
        <f t="shared" si="1"/>
      </c>
      <c r="H9" s="49"/>
      <c r="I9" s="49"/>
      <c r="J9" s="58"/>
      <c r="K9" s="135" t="s">
        <v>82</v>
      </c>
      <c r="L9" s="90">
        <v>3</v>
      </c>
      <c r="M9" s="49"/>
      <c r="N9" s="49"/>
      <c r="O9" s="58"/>
      <c r="P9" s="58"/>
      <c r="R9" s="142" t="e">
        <f>IF(ISBLANK(D8),#N/A,IF($L$9=1,D8,#N/A))</f>
        <v>#N/A</v>
      </c>
      <c r="S9" s="141" t="e">
        <f t="shared" si="2"/>
        <v>#N/A</v>
      </c>
      <c r="T9" s="141">
        <f t="shared" si="3"/>
      </c>
      <c r="U9">
        <f t="shared" si="4"/>
      </c>
      <c r="V9">
        <f t="shared" si="5"/>
      </c>
      <c r="W9" s="66"/>
    </row>
    <row r="10" spans="2:23" ht="15.75">
      <c r="B10" s="65"/>
      <c r="C10" s="133">
        <f t="shared" si="6"/>
        <v>3</v>
      </c>
      <c r="D10" s="132">
        <v>15</v>
      </c>
      <c r="E10" s="133">
        <f t="shared" si="0"/>
      </c>
      <c r="F10" s="164">
        <f t="shared" si="1"/>
      </c>
      <c r="H10" s="49"/>
      <c r="I10" s="49"/>
      <c r="J10" s="58"/>
      <c r="K10" s="135" t="str">
        <f>CONCATENATE("Forecast for time period ",Time_Period," is: ")</f>
        <v>Forecast for time period 12 is: </v>
      </c>
      <c r="L10" s="136" t="e">
        <f>VLOOKUP(Time_Period,LookupTable,3,0)</f>
        <v>#N/A</v>
      </c>
      <c r="M10" s="49"/>
      <c r="N10" s="49"/>
      <c r="O10" s="58"/>
      <c r="P10" s="58"/>
      <c r="R10" s="142" t="e">
        <f>IF(ISBLANK(D9),#N/A,IF($L$9=1,D9,IF($L$9=2,AVERAGE(D8:D9),#N/A)))</f>
        <v>#N/A</v>
      </c>
      <c r="S10" s="141" t="e">
        <f t="shared" si="2"/>
        <v>#N/A</v>
      </c>
      <c r="T10" s="141">
        <f t="shared" si="3"/>
      </c>
      <c r="U10">
        <f t="shared" si="4"/>
      </c>
      <c r="V10">
        <f t="shared" si="5"/>
      </c>
      <c r="W10" s="66"/>
    </row>
    <row r="11" spans="2:23" ht="15.75">
      <c r="B11" s="65"/>
      <c r="C11" s="133">
        <f t="shared" si="6"/>
        <v>4</v>
      </c>
      <c r="D11" s="132">
        <v>12</v>
      </c>
      <c r="E11" s="133"/>
      <c r="F11" s="164">
        <f t="shared" si="1"/>
      </c>
      <c r="H11" s="49"/>
      <c r="I11" s="49"/>
      <c r="J11" s="58"/>
      <c r="K11" s="49"/>
      <c r="L11" s="49"/>
      <c r="M11" s="49"/>
      <c r="N11" s="58"/>
      <c r="O11" s="58"/>
      <c r="P11" s="58"/>
      <c r="R11" s="142">
        <f>IF(ISBLANK(D10),#N/A,IF($L$9=1,D10,IF($L$9=2,AVERAGE(D9:D10),IF($L$9=3,AVERAGE(D8:D10),#N/A))))</f>
        <v>12.666666666666666</v>
      </c>
      <c r="S11" s="141">
        <f t="shared" si="2"/>
        <v>-0.6666666666666661</v>
      </c>
      <c r="T11" s="141">
        <f t="shared" si="3"/>
        <v>-0.6666666666666661</v>
      </c>
      <c r="U11">
        <f t="shared" si="4"/>
        <v>0.6666666666666661</v>
      </c>
      <c r="V11">
        <f t="shared" si="5"/>
        <v>0.44444444444444364</v>
      </c>
      <c r="W11" s="66"/>
    </row>
    <row r="12" spans="2:23" ht="15.75">
      <c r="B12" s="65"/>
      <c r="C12" s="133">
        <f t="shared" si="6"/>
        <v>5</v>
      </c>
      <c r="D12" s="132">
        <v>16</v>
      </c>
      <c r="E12" s="133"/>
      <c r="F12" s="164">
        <f t="shared" si="1"/>
      </c>
      <c r="H12" s="49"/>
      <c r="I12" s="61" t="s">
        <v>67</v>
      </c>
      <c r="J12" s="137">
        <f>U28/COUNT(U8:U27)</f>
        <v>1.5555555555555554</v>
      </c>
      <c r="K12" s="49"/>
      <c r="L12" s="49"/>
      <c r="M12" s="49"/>
      <c r="N12" s="49"/>
      <c r="O12" s="49"/>
      <c r="P12" s="58"/>
      <c r="R12" s="142">
        <f>IF(ISBLANK(D11),#N/A,IF($L$9=1,D11,IF($L$9=2,AVERAGE(D10:D11),IF($L$9=3,AVERAGE(D9:D11),IF($L$9=4,AVERAGE(D8:D11),#N/A)))))</f>
        <v>12.666666666666666</v>
      </c>
      <c r="S12" s="141">
        <f t="shared" si="2"/>
        <v>3.333333333333334</v>
      </c>
      <c r="T12" s="141">
        <f t="shared" si="3"/>
        <v>3.333333333333334</v>
      </c>
      <c r="U12">
        <f t="shared" si="4"/>
        <v>3.333333333333334</v>
      </c>
      <c r="V12">
        <f t="shared" si="5"/>
        <v>11.111111111111114</v>
      </c>
      <c r="W12" s="66"/>
    </row>
    <row r="13" spans="2:23" ht="15.75">
      <c r="B13" s="65"/>
      <c r="C13" s="133">
        <f t="shared" si="6"/>
        <v>6</v>
      </c>
      <c r="D13" s="132">
        <v>15</v>
      </c>
      <c r="E13" s="133"/>
      <c r="F13" s="164">
        <f t="shared" si="1"/>
      </c>
      <c r="H13" s="49"/>
      <c r="I13" s="61" t="s">
        <v>68</v>
      </c>
      <c r="J13" s="137">
        <f>V28/(COUNT(V8:V27)-1)</f>
        <v>6</v>
      </c>
      <c r="K13" s="49"/>
      <c r="L13" s="49"/>
      <c r="M13" s="49"/>
      <c r="N13" s="49"/>
      <c r="O13" s="49"/>
      <c r="P13" s="58"/>
      <c r="R13" s="142">
        <f>IF(ISBLANK(D12),#N/A,IF($L$9=1,D12,IF($L$9=2,AVERAGE(D11:D12),IF($L$9=3,AVERAGE(D10:D12),IF($L$9=4,AVERAGE(D9:D12),IF($L$9=5,AVERAGE(D8:D12),#N/A))))))</f>
        <v>14.333333333333334</v>
      </c>
      <c r="S13" s="141">
        <f t="shared" si="2"/>
        <v>0.6666666666666661</v>
      </c>
      <c r="T13" s="141">
        <f t="shared" si="3"/>
        <v>0.6666666666666661</v>
      </c>
      <c r="U13">
        <f t="shared" si="4"/>
        <v>0.6666666666666661</v>
      </c>
      <c r="V13">
        <f t="shared" si="5"/>
        <v>0.44444444444444364</v>
      </c>
      <c r="W13" s="66"/>
    </row>
    <row r="14" spans="2:23" ht="15.75">
      <c r="B14" s="65"/>
      <c r="C14" s="133">
        <f t="shared" si="6"/>
      </c>
      <c r="D14" s="132"/>
      <c r="E14" s="133"/>
      <c r="F14" s="164"/>
      <c r="H14" s="49"/>
      <c r="I14" s="49"/>
      <c r="J14" s="58"/>
      <c r="K14" s="63"/>
      <c r="L14" s="49"/>
      <c r="M14" s="154"/>
      <c r="N14" s="49"/>
      <c r="O14" s="58"/>
      <c r="P14" s="58"/>
      <c r="R14" s="142">
        <f aca="true" t="shared" si="7" ref="R14:R27">IF(ISBLANK(D13),#N/A,IF($L$9=1,D13,IF($L$9=2,AVERAGE(D12:D13),IF($L$9=3,AVERAGE(D11:D13),IF($L$9=4,AVERAGE(D10:D13),IF($L$9=5,AVERAGE(D9:D13),IF($L$9=6,AVERAGE(D8:D13),"")))))))</f>
        <v>14.333333333333334</v>
      </c>
      <c r="S14" s="141" t="e">
        <f t="shared" si="2"/>
        <v>#N/A</v>
      </c>
      <c r="T14" s="141">
        <f t="shared" si="3"/>
      </c>
      <c r="U14">
        <f t="shared" si="4"/>
      </c>
      <c r="V14">
        <f t="shared" si="5"/>
      </c>
      <c r="W14" s="66"/>
    </row>
    <row r="15" spans="2:23" ht="15.75">
      <c r="B15" s="65"/>
      <c r="C15" s="133">
        <f t="shared" si="6"/>
      </c>
      <c r="D15" s="132"/>
      <c r="E15" s="133"/>
      <c r="F15" s="164"/>
      <c r="H15" s="49"/>
      <c r="I15" s="49"/>
      <c r="J15" s="58"/>
      <c r="K15" s="63"/>
      <c r="L15" s="49"/>
      <c r="M15" s="154"/>
      <c r="N15" s="49"/>
      <c r="O15" s="58"/>
      <c r="P15" s="58"/>
      <c r="R15" s="142" t="e">
        <f t="shared" si="7"/>
        <v>#N/A</v>
      </c>
      <c r="S15" s="141" t="e">
        <f t="shared" si="2"/>
        <v>#N/A</v>
      </c>
      <c r="T15" s="141">
        <f t="shared" si="3"/>
      </c>
      <c r="U15">
        <f t="shared" si="4"/>
      </c>
      <c r="V15">
        <f t="shared" si="5"/>
      </c>
      <c r="W15" s="66"/>
    </row>
    <row r="16" spans="2:23" ht="15.75">
      <c r="B16" s="65"/>
      <c r="C16" s="133">
        <f t="shared" si="6"/>
      </c>
      <c r="D16" s="132"/>
      <c r="E16" s="133"/>
      <c r="F16" s="164"/>
      <c r="H16" s="49"/>
      <c r="I16" s="78"/>
      <c r="J16" s="58"/>
      <c r="K16" s="63"/>
      <c r="L16" s="49"/>
      <c r="M16" s="154"/>
      <c r="N16" s="49"/>
      <c r="O16" s="58"/>
      <c r="P16" s="58"/>
      <c r="R16" s="142" t="e">
        <f t="shared" si="7"/>
        <v>#N/A</v>
      </c>
      <c r="S16" s="141" t="e">
        <f t="shared" si="2"/>
        <v>#N/A</v>
      </c>
      <c r="T16" s="141">
        <f t="shared" si="3"/>
      </c>
      <c r="U16">
        <f t="shared" si="4"/>
      </c>
      <c r="V16">
        <f t="shared" si="5"/>
      </c>
      <c r="W16" s="66"/>
    </row>
    <row r="17" spans="2:23" ht="15.75">
      <c r="B17" s="65"/>
      <c r="C17" s="133">
        <f t="shared" si="6"/>
      </c>
      <c r="D17" s="132"/>
      <c r="E17" s="133"/>
      <c r="F17" s="164"/>
      <c r="H17" s="49"/>
      <c r="I17" s="49"/>
      <c r="J17" s="58"/>
      <c r="K17" s="63"/>
      <c r="L17" s="49"/>
      <c r="M17" s="154"/>
      <c r="N17" s="49"/>
      <c r="O17" s="58"/>
      <c r="P17" s="58"/>
      <c r="R17" s="142" t="e">
        <f t="shared" si="7"/>
        <v>#N/A</v>
      </c>
      <c r="S17" s="141" t="e">
        <f t="shared" si="2"/>
        <v>#N/A</v>
      </c>
      <c r="T17" s="141">
        <f t="shared" si="3"/>
      </c>
      <c r="U17">
        <f t="shared" si="4"/>
      </c>
      <c r="V17">
        <f t="shared" si="5"/>
      </c>
      <c r="W17" s="66"/>
    </row>
    <row r="18" spans="1:23" ht="15.75">
      <c r="A18" s="79"/>
      <c r="B18" s="65"/>
      <c r="C18" s="133">
        <f t="shared" si="6"/>
      </c>
      <c r="D18" s="132"/>
      <c r="E18" s="133"/>
      <c r="F18" s="164"/>
      <c r="H18" s="49"/>
      <c r="I18" s="49"/>
      <c r="J18" s="58"/>
      <c r="K18" s="49"/>
      <c r="L18" s="49"/>
      <c r="M18" s="49"/>
      <c r="N18" s="49"/>
      <c r="O18" s="58"/>
      <c r="P18" s="58"/>
      <c r="R18" s="142" t="e">
        <f t="shared" si="7"/>
        <v>#N/A</v>
      </c>
      <c r="S18" s="141" t="e">
        <f t="shared" si="2"/>
        <v>#N/A</v>
      </c>
      <c r="T18" s="141">
        <f t="shared" si="3"/>
      </c>
      <c r="U18">
        <f t="shared" si="4"/>
      </c>
      <c r="V18">
        <f t="shared" si="5"/>
      </c>
      <c r="W18" s="66"/>
    </row>
    <row r="19" spans="1:23" ht="15.75">
      <c r="A19" s="79"/>
      <c r="B19" s="65"/>
      <c r="C19" s="133">
        <f t="shared" si="6"/>
      </c>
      <c r="D19" s="132"/>
      <c r="E19" s="133"/>
      <c r="F19" s="164"/>
      <c r="H19" s="49"/>
      <c r="I19" s="49"/>
      <c r="J19" s="58"/>
      <c r="K19" s="49"/>
      <c r="L19" s="49"/>
      <c r="M19" s="49"/>
      <c r="N19" s="49"/>
      <c r="O19" s="58"/>
      <c r="P19" s="58"/>
      <c r="R19" s="142" t="e">
        <f t="shared" si="7"/>
        <v>#N/A</v>
      </c>
      <c r="S19" s="141" t="e">
        <f t="shared" si="2"/>
        <v>#N/A</v>
      </c>
      <c r="T19" s="141">
        <f t="shared" si="3"/>
      </c>
      <c r="U19">
        <f t="shared" si="4"/>
      </c>
      <c r="V19">
        <f t="shared" si="5"/>
      </c>
      <c r="W19" s="66"/>
    </row>
    <row r="20" spans="1:23" ht="15.75">
      <c r="A20" s="79"/>
      <c r="B20" s="65"/>
      <c r="C20" s="133">
        <f t="shared" si="6"/>
      </c>
      <c r="D20" s="132"/>
      <c r="E20" s="133"/>
      <c r="F20" s="164"/>
      <c r="H20" s="49"/>
      <c r="I20" s="49"/>
      <c r="J20" s="58"/>
      <c r="M20" s="38"/>
      <c r="O20" s="58"/>
      <c r="P20" s="58"/>
      <c r="R20" s="142" t="e">
        <f t="shared" si="7"/>
        <v>#N/A</v>
      </c>
      <c r="S20" s="141" t="e">
        <f t="shared" si="2"/>
        <v>#N/A</v>
      </c>
      <c r="T20" s="141">
        <f t="shared" si="3"/>
      </c>
      <c r="U20">
        <f t="shared" si="4"/>
      </c>
      <c r="V20">
        <f t="shared" si="5"/>
      </c>
      <c r="W20" s="66"/>
    </row>
    <row r="21" spans="1:23" ht="15.75">
      <c r="A21" s="79"/>
      <c r="B21" s="65"/>
      <c r="C21" s="133">
        <f t="shared" si="6"/>
      </c>
      <c r="D21" s="132"/>
      <c r="E21" s="133">
        <f t="shared" si="0"/>
      </c>
      <c r="F21" s="164">
        <f t="shared" si="1"/>
      </c>
      <c r="H21" s="49"/>
      <c r="I21" s="49"/>
      <c r="J21" s="58"/>
      <c r="K21" s="116" t="s">
        <v>76</v>
      </c>
      <c r="L21" s="117" t="s">
        <v>77</v>
      </c>
      <c r="M21" s="38"/>
      <c r="O21" s="58"/>
      <c r="P21" s="58"/>
      <c r="R21" s="142" t="e">
        <f t="shared" si="7"/>
        <v>#N/A</v>
      </c>
      <c r="S21" s="141" t="e">
        <f t="shared" si="2"/>
        <v>#N/A</v>
      </c>
      <c r="T21" s="141">
        <f t="shared" si="3"/>
      </c>
      <c r="U21">
        <f t="shared" si="4"/>
      </c>
      <c r="V21">
        <f t="shared" si="5"/>
      </c>
      <c r="W21" s="66"/>
    </row>
    <row r="22" spans="1:23" ht="15.75">
      <c r="A22" s="79"/>
      <c r="B22" s="65"/>
      <c r="C22" s="133">
        <f t="shared" si="6"/>
      </c>
      <c r="D22" s="132"/>
      <c r="E22" s="133">
        <f t="shared" si="0"/>
      </c>
      <c r="F22" s="164">
        <f t="shared" si="1"/>
      </c>
      <c r="H22" s="49"/>
      <c r="I22" s="49"/>
      <c r="J22" s="58"/>
      <c r="K22" s="119">
        <f>Time_Period</f>
        <v>12</v>
      </c>
      <c r="L22" s="120">
        <v>0</v>
      </c>
      <c r="M22" s="38"/>
      <c r="O22" s="58"/>
      <c r="P22" s="58"/>
      <c r="R22" s="142" t="e">
        <f t="shared" si="7"/>
        <v>#N/A</v>
      </c>
      <c r="S22" s="141" t="e">
        <f t="shared" si="2"/>
        <v>#N/A</v>
      </c>
      <c r="T22" s="141">
        <f t="shared" si="3"/>
      </c>
      <c r="U22">
        <f t="shared" si="4"/>
      </c>
      <c r="V22">
        <f t="shared" si="5"/>
      </c>
      <c r="W22" s="66"/>
    </row>
    <row r="23" spans="1:23" ht="15.75">
      <c r="A23" s="79"/>
      <c r="B23" s="65"/>
      <c r="C23" s="133">
        <f t="shared" si="6"/>
      </c>
      <c r="D23" s="132"/>
      <c r="E23" s="133">
        <f t="shared" si="0"/>
      </c>
      <c r="F23" s="164">
        <f t="shared" si="1"/>
      </c>
      <c r="H23" s="49"/>
      <c r="I23" s="49"/>
      <c r="J23" s="58"/>
      <c r="K23" s="122">
        <f>Time_Period</f>
        <v>12</v>
      </c>
      <c r="L23" s="123" t="e">
        <f>L10</f>
        <v>#N/A</v>
      </c>
      <c r="M23" s="38"/>
      <c r="O23" s="58"/>
      <c r="P23" s="58"/>
      <c r="R23" s="142" t="e">
        <f t="shared" si="7"/>
        <v>#N/A</v>
      </c>
      <c r="S23" s="141" t="e">
        <f t="shared" si="2"/>
        <v>#N/A</v>
      </c>
      <c r="T23" s="141">
        <f t="shared" si="3"/>
      </c>
      <c r="U23">
        <f t="shared" si="4"/>
      </c>
      <c r="V23">
        <f t="shared" si="5"/>
      </c>
      <c r="W23" s="66"/>
    </row>
    <row r="24" spans="1:23" ht="15.75">
      <c r="A24" s="79"/>
      <c r="B24" s="65"/>
      <c r="C24" s="133">
        <f t="shared" si="6"/>
      </c>
      <c r="D24" s="132"/>
      <c r="E24" s="133">
        <f t="shared" si="0"/>
      </c>
      <c r="F24" s="164">
        <f t="shared" si="1"/>
      </c>
      <c r="H24" s="49"/>
      <c r="I24" s="49"/>
      <c r="J24" s="58"/>
      <c r="M24" s="38"/>
      <c r="O24" s="58"/>
      <c r="P24" s="58"/>
      <c r="R24" s="142" t="e">
        <f t="shared" si="7"/>
        <v>#N/A</v>
      </c>
      <c r="S24" s="141" t="e">
        <f t="shared" si="2"/>
        <v>#N/A</v>
      </c>
      <c r="T24" s="141">
        <f t="shared" si="3"/>
      </c>
      <c r="U24">
        <f t="shared" si="4"/>
      </c>
      <c r="V24">
        <f t="shared" si="5"/>
      </c>
      <c r="W24" s="66"/>
    </row>
    <row r="25" spans="1:23" ht="15.75">
      <c r="A25" s="79"/>
      <c r="B25" s="65"/>
      <c r="C25" s="133">
        <f t="shared" si="6"/>
      </c>
      <c r="D25" s="132"/>
      <c r="E25" s="133">
        <f t="shared" si="0"/>
      </c>
      <c r="F25" s="164">
        <f t="shared" si="1"/>
      </c>
      <c r="H25" s="49"/>
      <c r="I25" s="49"/>
      <c r="J25" s="58"/>
      <c r="M25" s="38"/>
      <c r="O25" s="58"/>
      <c r="P25" s="58"/>
      <c r="R25" s="142" t="e">
        <f t="shared" si="7"/>
        <v>#N/A</v>
      </c>
      <c r="S25" s="141" t="e">
        <f t="shared" si="2"/>
        <v>#N/A</v>
      </c>
      <c r="T25" s="141">
        <f t="shared" si="3"/>
      </c>
      <c r="U25">
        <f t="shared" si="4"/>
      </c>
      <c r="V25">
        <f t="shared" si="5"/>
      </c>
      <c r="W25" s="66"/>
    </row>
    <row r="26" spans="1:23" ht="16.5" thickBot="1">
      <c r="A26" s="79"/>
      <c r="B26" s="65"/>
      <c r="C26" s="160">
        <f t="shared" si="6"/>
      </c>
      <c r="D26" s="152"/>
      <c r="E26" s="160">
        <f t="shared" si="0"/>
      </c>
      <c r="F26" s="164">
        <f t="shared" si="1"/>
      </c>
      <c r="H26" s="49"/>
      <c r="I26" s="49"/>
      <c r="J26" s="58"/>
      <c r="K26" s="125" t="s">
        <v>60</v>
      </c>
      <c r="L26" s="126"/>
      <c r="M26" s="127">
        <v>1</v>
      </c>
      <c r="O26" s="58"/>
      <c r="P26" s="58"/>
      <c r="R26" s="142" t="e">
        <f t="shared" si="7"/>
        <v>#N/A</v>
      </c>
      <c r="S26" s="141" t="e">
        <f t="shared" si="2"/>
        <v>#N/A</v>
      </c>
      <c r="T26" s="141">
        <f t="shared" si="3"/>
      </c>
      <c r="U26">
        <f t="shared" si="4"/>
      </c>
      <c r="V26">
        <f t="shared" si="5"/>
      </c>
      <c r="W26" s="66"/>
    </row>
    <row r="27" spans="1:23" ht="15.75">
      <c r="A27" s="79"/>
      <c r="B27" s="65"/>
      <c r="C27" s="133">
        <f t="shared" si="6"/>
      </c>
      <c r="D27" s="133"/>
      <c r="E27" s="133">
        <f t="shared" si="0"/>
      </c>
      <c r="F27" s="133">
        <f t="shared" si="1"/>
      </c>
      <c r="H27" s="49"/>
      <c r="I27" s="49"/>
      <c r="J27" s="58"/>
      <c r="K27" s="129" t="s">
        <v>78</v>
      </c>
      <c r="L27" s="130">
        <v>12</v>
      </c>
      <c r="M27" s="131"/>
      <c r="O27" s="58"/>
      <c r="P27" s="58"/>
      <c r="R27" s="142" t="e">
        <f t="shared" si="7"/>
        <v>#N/A</v>
      </c>
      <c r="S27" s="141" t="e">
        <f t="shared" si="2"/>
        <v>#N/A</v>
      </c>
      <c r="T27" s="141">
        <f t="shared" si="3"/>
      </c>
      <c r="U27">
        <f t="shared" si="4"/>
      </c>
      <c r="V27">
        <f t="shared" si="5"/>
      </c>
      <c r="W27" s="66"/>
    </row>
    <row r="28" spans="1:22" ht="15.75">
      <c r="A28" s="79"/>
      <c r="B28" s="65"/>
      <c r="C28" s="133"/>
      <c r="D28" s="133"/>
      <c r="E28" s="155"/>
      <c r="F28" s="156"/>
      <c r="H28" s="49"/>
      <c r="I28" s="49"/>
      <c r="J28" s="58"/>
      <c r="M28" s="38"/>
      <c r="O28" s="58"/>
      <c r="P28" s="58"/>
      <c r="S28" s="32" t="s">
        <v>73</v>
      </c>
      <c r="T28" s="32"/>
      <c r="U28" s="32">
        <f>SUM(U8:U27)</f>
        <v>4.666666666666666</v>
      </c>
      <c r="V28" s="32">
        <f>SUM(V8:V27)</f>
        <v>12</v>
      </c>
    </row>
    <row r="29" spans="1:16" ht="15.75">
      <c r="A29" s="79"/>
      <c r="B29" s="65"/>
      <c r="C29" s="133"/>
      <c r="D29" s="133"/>
      <c r="E29" s="145"/>
      <c r="F29" s="156"/>
      <c r="H29" s="49"/>
      <c r="I29" s="49"/>
      <c r="J29" s="58"/>
      <c r="K29" s="49"/>
      <c r="L29" s="49"/>
      <c r="M29" s="49"/>
      <c r="N29" s="49"/>
      <c r="O29" s="58"/>
      <c r="P29" s="58"/>
    </row>
    <row r="30" spans="1:16" ht="15.75">
      <c r="A30" s="79"/>
      <c r="B30" s="65"/>
      <c r="C30" s="133"/>
      <c r="D30" s="133"/>
      <c r="E30" s="155"/>
      <c r="F30" s="156"/>
      <c r="H30" s="49"/>
      <c r="I30" s="49"/>
      <c r="J30" s="58"/>
      <c r="K30" s="49"/>
      <c r="L30" s="49"/>
      <c r="M30" s="49"/>
      <c r="N30" s="49"/>
      <c r="O30" s="58"/>
      <c r="P30" s="58"/>
    </row>
    <row r="31" spans="1:6" ht="15.75">
      <c r="A31" s="79"/>
      <c r="B31" s="65"/>
      <c r="C31" s="133"/>
      <c r="D31" s="133"/>
      <c r="E31" s="145"/>
      <c r="F31" s="156"/>
    </row>
    <row r="32" spans="1:6" ht="15.75">
      <c r="A32" s="79"/>
      <c r="B32" s="65"/>
      <c r="C32" s="133"/>
      <c r="D32" s="133"/>
      <c r="E32" s="155"/>
      <c r="F32" s="156"/>
    </row>
    <row r="33" spans="1:6" ht="15.75">
      <c r="A33" s="79"/>
      <c r="B33" s="65"/>
      <c r="C33" s="133"/>
      <c r="D33" s="133"/>
      <c r="E33" s="145"/>
      <c r="F33" s="156"/>
    </row>
    <row r="34" spans="1:6" ht="15.75">
      <c r="A34" s="79"/>
      <c r="B34" s="65"/>
      <c r="C34" s="133"/>
      <c r="D34" s="133"/>
      <c r="E34" s="155"/>
      <c r="F34" s="156"/>
    </row>
    <row r="35" spans="1:18" ht="15.75">
      <c r="A35" s="79"/>
      <c r="B35" s="65"/>
      <c r="C35" s="133"/>
      <c r="D35" s="133"/>
      <c r="E35" s="145"/>
      <c r="F35" s="156"/>
      <c r="H35" s="49"/>
      <c r="I35" s="49"/>
      <c r="J35" s="58"/>
      <c r="K35" s="49"/>
      <c r="L35" s="49"/>
      <c r="M35" s="49"/>
      <c r="N35" s="49"/>
      <c r="O35" s="49"/>
      <c r="P35" s="49"/>
      <c r="Q35" s="49"/>
      <c r="R35" s="49"/>
    </row>
    <row r="36" spans="1:18" ht="15.75">
      <c r="A36" s="79"/>
      <c r="B36" s="65"/>
      <c r="C36" s="133"/>
      <c r="D36" s="133"/>
      <c r="E36" s="145"/>
      <c r="F36" s="156"/>
      <c r="H36" s="49"/>
      <c r="I36" s="58"/>
      <c r="J36" s="58"/>
      <c r="K36" s="138"/>
      <c r="L36" s="49"/>
      <c r="M36" s="49"/>
      <c r="N36" s="58"/>
      <c r="O36" s="58"/>
      <c r="P36" s="58"/>
      <c r="Q36" s="49"/>
      <c r="R36" s="49"/>
    </row>
    <row r="37" spans="1:18" ht="15.75">
      <c r="A37" s="79"/>
      <c r="B37" s="65"/>
      <c r="C37" s="133"/>
      <c r="D37" s="133"/>
      <c r="E37" s="145"/>
      <c r="F37" s="156"/>
      <c r="G37" s="143"/>
      <c r="H37" s="49"/>
      <c r="I37" s="58"/>
      <c r="J37" s="139"/>
      <c r="K37" s="49"/>
      <c r="L37" s="49"/>
      <c r="M37" s="49"/>
      <c r="N37" s="58"/>
      <c r="O37" s="58"/>
      <c r="P37" s="58"/>
      <c r="Q37" s="153"/>
      <c r="R37" s="49"/>
    </row>
    <row r="38" spans="1:17" ht="12.75">
      <c r="A38" s="79"/>
      <c r="B38" s="65"/>
      <c r="C38" s="133"/>
      <c r="D38" s="133"/>
      <c r="E38" s="145"/>
      <c r="F38" s="143"/>
      <c r="G38" s="143"/>
      <c r="I38" s="58"/>
      <c r="J38" s="139"/>
      <c r="K38" s="49"/>
      <c r="L38" s="146"/>
      <c r="N38" s="38"/>
      <c r="O38" s="38"/>
      <c r="P38" s="38"/>
      <c r="Q38" s="144"/>
    </row>
    <row r="39" spans="1:17" ht="12.75">
      <c r="A39" s="79"/>
      <c r="B39" s="65"/>
      <c r="C39" s="133"/>
      <c r="D39" s="133"/>
      <c r="E39" s="145"/>
      <c r="F39" s="98"/>
      <c r="G39" s="98"/>
      <c r="N39" s="106"/>
      <c r="O39" s="106"/>
      <c r="P39" s="106"/>
      <c r="Q39" s="147"/>
    </row>
    <row r="40" spans="1:17" ht="12.75">
      <c r="A40" s="79"/>
      <c r="B40" s="65"/>
      <c r="C40" s="103"/>
      <c r="D40" s="98"/>
      <c r="E40" s="98"/>
      <c r="F40" s="98"/>
      <c r="G40" s="98"/>
      <c r="N40" s="106"/>
      <c r="O40" s="106"/>
      <c r="P40" s="106"/>
      <c r="Q40" s="147"/>
    </row>
    <row r="41" spans="2:17" ht="15.75">
      <c r="B41" s="65"/>
      <c r="C41" s="103"/>
      <c r="D41" s="98"/>
      <c r="E41" s="98"/>
      <c r="F41" s="98"/>
      <c r="G41" s="98"/>
      <c r="N41" s="107"/>
      <c r="O41" s="107"/>
      <c r="P41" s="107"/>
      <c r="Q41" s="148"/>
    </row>
    <row r="42" spans="1:17" ht="15.75">
      <c r="A42" s="79"/>
      <c r="B42" s="65"/>
      <c r="C42" s="103"/>
      <c r="D42" s="98"/>
      <c r="E42" s="98"/>
      <c r="F42" s="98"/>
      <c r="G42" s="98"/>
      <c r="L42" s="107"/>
      <c r="M42" s="107"/>
      <c r="N42" s="107"/>
      <c r="O42" s="107"/>
      <c r="P42" s="107"/>
      <c r="Q42" s="148"/>
    </row>
    <row r="43" spans="1:17" ht="15.75">
      <c r="A43" s="79"/>
      <c r="B43" s="65"/>
      <c r="F43" s="98"/>
      <c r="G43" s="98"/>
      <c r="L43" s="112"/>
      <c r="M43" s="112"/>
      <c r="N43" s="112"/>
      <c r="O43" s="112"/>
      <c r="P43" s="112"/>
      <c r="Q43" s="149"/>
    </row>
    <row r="44" spans="2:17" ht="15.75">
      <c r="B44" s="65"/>
      <c r="F44" s="98"/>
      <c r="G44" s="98"/>
      <c r="L44" s="112"/>
      <c r="M44" s="112"/>
      <c r="N44" s="112"/>
      <c r="O44" s="112"/>
      <c r="P44" s="112"/>
      <c r="Q44" s="149"/>
    </row>
    <row r="45" spans="2:17" ht="15.75">
      <c r="B45" s="65"/>
      <c r="F45" s="98"/>
      <c r="G45" s="98"/>
      <c r="L45" s="107"/>
      <c r="M45" s="107"/>
      <c r="N45" s="107"/>
      <c r="O45" s="107"/>
      <c r="P45" s="107"/>
      <c r="Q45" s="107"/>
    </row>
    <row r="46" spans="2:17" ht="15.75">
      <c r="B46" s="65"/>
      <c r="F46" s="98"/>
      <c r="G46" s="98"/>
      <c r="L46" s="107"/>
      <c r="M46" s="107"/>
      <c r="N46" s="107"/>
      <c r="O46" s="107"/>
      <c r="P46" s="107"/>
      <c r="Q46" s="107"/>
    </row>
    <row r="47" spans="2:17" ht="12.75">
      <c r="B47" s="65"/>
      <c r="F47" s="98"/>
      <c r="G47" s="98"/>
      <c r="L47" s="106"/>
      <c r="M47" s="106"/>
      <c r="N47" s="106"/>
      <c r="O47" s="106"/>
      <c r="P47" s="106"/>
      <c r="Q47" s="106"/>
    </row>
    <row r="48" spans="2:17" ht="12.75">
      <c r="B48" s="65"/>
      <c r="F48" s="98"/>
      <c r="G48" s="98"/>
      <c r="Q48" s="52"/>
    </row>
    <row r="49" spans="2:17" ht="12.75">
      <c r="B49" s="65"/>
      <c r="F49" s="98"/>
      <c r="G49" s="98"/>
      <c r="Q49" s="52"/>
    </row>
    <row r="50" spans="2:17" ht="12.75">
      <c r="B50" s="65"/>
      <c r="F50" s="98"/>
      <c r="G50" s="98"/>
      <c r="Q50" s="59"/>
    </row>
    <row r="51" spans="2:17" ht="12.75">
      <c r="B51" s="65"/>
      <c r="F51" s="98"/>
      <c r="G51" s="98"/>
      <c r="Q51" s="59"/>
    </row>
    <row r="52" spans="2:7" ht="12.75">
      <c r="B52" s="65"/>
      <c r="F52" s="98"/>
      <c r="G52" s="98"/>
    </row>
  </sheetData>
  <sheetProtection/>
  <conditionalFormatting sqref="F8:F27 C27:E27">
    <cfRule type="expression" priority="1" dxfId="0" stopIfTrue="1">
      <formula>C8=$L$27</formula>
    </cfRule>
  </conditionalFormatting>
  <conditionalFormatting sqref="C8:E26">
    <cfRule type="expression" priority="2" dxfId="0" stopIfTrue="1">
      <formula>$C8=$L$27</formula>
    </cfRule>
  </conditionalFormatting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C9:C27 F8 E21:F27 F9:F13 E9:E10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BM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6.28125" style="38" customWidth="1"/>
    <col min="3" max="4" width="10.28125" style="0" customWidth="1"/>
    <col min="5" max="5" width="9.00390625" style="49" customWidth="1"/>
    <col min="6" max="6" width="8.8515625" style="0" customWidth="1"/>
    <col min="7" max="7" width="7.00390625" style="0" customWidth="1"/>
    <col min="8" max="8" width="8.8515625" style="38" customWidth="1"/>
    <col min="9" max="9" width="8.28125" style="0" customWidth="1"/>
    <col min="10" max="10" width="8.7109375" style="0" customWidth="1"/>
    <col min="11" max="15" width="11.140625" style="0" customWidth="1"/>
    <col min="16" max="16" width="12.00390625" style="0" customWidth="1"/>
    <col min="17" max="17" width="9.00390625" style="41" customWidth="1"/>
    <col min="18" max="18" width="9.421875" style="41" customWidth="1"/>
    <col min="19" max="20" width="10.00390625" style="41" customWidth="1"/>
    <col min="21" max="21" width="8.57421875" style="41" customWidth="1"/>
    <col min="22" max="22" width="8.28125" style="0" customWidth="1"/>
    <col min="23" max="23" width="9.28125" style="0" customWidth="1"/>
    <col min="24" max="28" width="17.57421875" style="0" customWidth="1"/>
    <col min="29" max="34" width="24.8515625" style="0" customWidth="1"/>
    <col min="35" max="35" width="4.421875" style="0" customWidth="1"/>
    <col min="42" max="42" width="25.00390625" style="0" customWidth="1"/>
    <col min="43" max="43" width="18.421875" style="0" customWidth="1"/>
    <col min="44" max="44" width="10.8515625" style="0" customWidth="1"/>
    <col min="45" max="45" width="5.57421875" style="0" customWidth="1"/>
    <col min="46" max="46" width="17.140625" style="0" customWidth="1"/>
    <col min="47" max="47" width="11.00390625" style="0" customWidth="1"/>
    <col min="48" max="48" width="14.00390625" style="0" customWidth="1"/>
    <col min="49" max="49" width="16.140625" style="0" customWidth="1"/>
    <col min="50" max="50" width="17.8515625" style="0" customWidth="1"/>
    <col min="51" max="51" width="22.140625" style="0" customWidth="1"/>
    <col min="52" max="52" width="13.57421875" style="0" customWidth="1"/>
    <col min="53" max="56" width="17.28125" style="0" customWidth="1"/>
    <col min="57" max="57" width="18.28125" style="0" customWidth="1"/>
    <col min="58" max="58" width="16.28125" style="0" customWidth="1"/>
    <col min="59" max="59" width="12.57421875" style="0" customWidth="1"/>
    <col min="60" max="60" width="16.7109375" style="0" customWidth="1"/>
    <col min="61" max="61" width="12.421875" style="0" customWidth="1"/>
    <col min="62" max="62" width="13.00390625" style="0" customWidth="1"/>
    <col min="63" max="63" width="14.140625" style="0" customWidth="1"/>
  </cols>
  <sheetData>
    <row r="2" spans="2:56" ht="15.75">
      <c r="B2" s="53" t="s">
        <v>40</v>
      </c>
      <c r="AC2" s="52"/>
      <c r="AD2" s="52"/>
      <c r="AE2" s="52"/>
      <c r="AF2" s="52"/>
      <c r="AP2" s="54"/>
      <c r="AQ2" s="55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2:56" ht="15">
      <c r="B3" s="60"/>
      <c r="C3" s="60"/>
      <c r="D3" s="60"/>
      <c r="E3" s="61"/>
      <c r="AP3" s="54"/>
      <c r="AQ3" s="54"/>
      <c r="AR3" s="54"/>
      <c r="AS3" s="54"/>
      <c r="AT3" s="54">
        <v>0.01</v>
      </c>
      <c r="AU3" s="54">
        <v>0.025</v>
      </c>
      <c r="AV3" s="54"/>
      <c r="AW3" s="54"/>
      <c r="AX3" s="54"/>
      <c r="AY3" s="54"/>
      <c r="AZ3" s="54"/>
      <c r="BA3" s="54"/>
      <c r="BB3" s="54"/>
      <c r="BC3" s="54"/>
      <c r="BD3" s="54"/>
    </row>
    <row r="4" spans="2:56" ht="15.75" thickBot="1">
      <c r="B4" s="151" t="s">
        <v>18</v>
      </c>
      <c r="C4" s="151" t="s">
        <v>81</v>
      </c>
      <c r="D4" s="151" t="s">
        <v>27</v>
      </c>
      <c r="E4" s="61"/>
      <c r="P4" s="62" t="s">
        <v>41</v>
      </c>
      <c r="Q4" s="62" t="s">
        <v>42</v>
      </c>
      <c r="R4" s="62" t="s">
        <v>27</v>
      </c>
      <c r="S4" s="63"/>
      <c r="T4" s="62" t="s">
        <v>43</v>
      </c>
      <c r="U4" s="62" t="s">
        <v>44</v>
      </c>
      <c r="V4" s="62" t="s">
        <v>43</v>
      </c>
      <c r="W4" s="62" t="s">
        <v>44</v>
      </c>
      <c r="AP4" s="64" t="s">
        <v>45</v>
      </c>
      <c r="AQ4" s="54">
        <v>1</v>
      </c>
      <c r="AR4" s="54"/>
      <c r="AS4" s="54"/>
      <c r="AT4" s="54">
        <v>0.05</v>
      </c>
      <c r="AU4" s="54">
        <v>0.05</v>
      </c>
      <c r="AV4" s="54"/>
      <c r="AW4" s="54"/>
      <c r="AX4" s="54"/>
      <c r="AY4" s="54"/>
      <c r="AZ4" s="54"/>
      <c r="BA4" s="54"/>
      <c r="BB4" s="54"/>
      <c r="BC4" s="54"/>
      <c r="BD4" s="54"/>
    </row>
    <row r="5" spans="2:56" ht="15.75">
      <c r="B5" s="133">
        <v>1</v>
      </c>
      <c r="C5" s="132">
        <v>100</v>
      </c>
      <c r="D5" s="163">
        <v>80</v>
      </c>
      <c r="E5" s="66" t="s">
        <v>83</v>
      </c>
      <c r="F5" s="49"/>
      <c r="G5" s="49"/>
      <c r="H5" s="58"/>
      <c r="I5" s="49"/>
      <c r="J5" s="49"/>
      <c r="K5" s="49"/>
      <c r="L5" s="49"/>
      <c r="M5" s="49"/>
      <c r="N5" s="49"/>
      <c r="P5" s="67"/>
      <c r="Q5" s="68">
        <f aca="true" t="shared" si="0" ref="Q5:Q22">C5</f>
        <v>100</v>
      </c>
      <c r="R5" s="69">
        <f>D5</f>
        <v>80</v>
      </c>
      <c r="S5" s="63"/>
      <c r="T5" s="41">
        <f aca="true" t="shared" si="1" ref="T5:T25">IF(OR(Q5="",R5=""),"",ABS(Q5-R5))</f>
        <v>20</v>
      </c>
      <c r="U5" s="41">
        <f aca="true" t="shared" si="2" ref="U5:U25">IF(T5="","",T5^2)</f>
        <v>400</v>
      </c>
      <c r="V5">
        <f aca="true" t="shared" si="3" ref="V5:V25">IF(ISNA(T5),"",T5)</f>
        <v>20</v>
      </c>
      <c r="W5">
        <f aca="true" t="shared" si="4" ref="W5:W25">IF(ISNA(U5),"",U5)</f>
        <v>400</v>
      </c>
      <c r="AP5" s="64" t="s">
        <v>46</v>
      </c>
      <c r="AQ5" s="54">
        <v>0.1</v>
      </c>
      <c r="AR5" s="54"/>
      <c r="AS5" s="54"/>
      <c r="AT5" s="54">
        <v>0.1</v>
      </c>
      <c r="AU5" s="54">
        <v>0.1</v>
      </c>
      <c r="AV5" s="54"/>
      <c r="AW5" s="54"/>
      <c r="AX5" s="54"/>
      <c r="AY5" s="54"/>
      <c r="AZ5" s="54"/>
      <c r="BA5" s="54"/>
      <c r="BB5" s="54"/>
      <c r="BC5" s="54"/>
      <c r="BD5" s="54"/>
    </row>
    <row r="6" spans="2:56" ht="15.75">
      <c r="B6" s="133">
        <f aca="true" t="shared" si="5" ref="B6:B23">IF(C6="","",B5+1)</f>
        <v>2</v>
      </c>
      <c r="C6" s="132">
        <v>94</v>
      </c>
      <c r="D6" s="157">
        <f aca="true" t="shared" si="6" ref="D6:D23">IF(ISNA(R6),"",R6)</f>
        <v>84</v>
      </c>
      <c r="E6" s="66" t="s">
        <v>83</v>
      </c>
      <c r="F6" s="49"/>
      <c r="G6" s="49"/>
      <c r="H6" s="58"/>
      <c r="I6" s="135" t="s">
        <v>60</v>
      </c>
      <c r="J6" s="88">
        <f>K24/100</f>
        <v>0.2</v>
      </c>
      <c r="K6" s="49"/>
      <c r="L6" s="49"/>
      <c r="M6" s="49"/>
      <c r="N6" s="49"/>
      <c r="P6" s="67"/>
      <c r="Q6" s="68">
        <f t="shared" si="0"/>
        <v>94</v>
      </c>
      <c r="R6" s="70">
        <f aca="true" t="shared" si="7" ref="R6:R22">IF(ISBLANK(C6),#N/A,R5+Smoothing_Constant*(Q5-R5))</f>
        <v>84</v>
      </c>
      <c r="S6" s="63"/>
      <c r="T6" s="71">
        <f t="shared" si="1"/>
        <v>10</v>
      </c>
      <c r="U6" s="71">
        <f t="shared" si="2"/>
        <v>100</v>
      </c>
      <c r="V6">
        <f t="shared" si="3"/>
        <v>10</v>
      </c>
      <c r="W6">
        <f t="shared" si="4"/>
        <v>100</v>
      </c>
      <c r="AP6" s="64" t="s">
        <v>47</v>
      </c>
      <c r="AQ6">
        <v>0.929686427116394</v>
      </c>
      <c r="AS6" s="54"/>
      <c r="AT6" s="72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2:56" ht="15.75">
      <c r="B7" s="133">
        <f t="shared" si="5"/>
        <v>3</v>
      </c>
      <c r="C7" s="132">
        <v>106</v>
      </c>
      <c r="D7" s="158">
        <f t="shared" si="6"/>
        <v>86</v>
      </c>
      <c r="E7" s="66" t="s">
        <v>83</v>
      </c>
      <c r="F7" s="49"/>
      <c r="G7" s="49"/>
      <c r="H7" s="58"/>
      <c r="I7" s="135" t="str">
        <f>CONCATENATE("Forecast for time period ",Time_Period1," is: ")</f>
        <v>Forecast for time period 2 is: </v>
      </c>
      <c r="J7" s="136">
        <f>VLOOKUP(Time_Period1,LookupTable,3,0)</f>
        <v>84</v>
      </c>
      <c r="K7" s="49"/>
      <c r="L7" s="49"/>
      <c r="M7" s="49"/>
      <c r="N7" s="49"/>
      <c r="P7" s="67"/>
      <c r="Q7" s="68">
        <f t="shared" si="0"/>
        <v>106</v>
      </c>
      <c r="R7" s="70">
        <f t="shared" si="7"/>
        <v>86</v>
      </c>
      <c r="S7" s="63"/>
      <c r="T7" s="71">
        <f t="shared" si="1"/>
        <v>20</v>
      </c>
      <c r="U7" s="71">
        <f t="shared" si="2"/>
        <v>400</v>
      </c>
      <c r="V7">
        <f t="shared" si="3"/>
        <v>20</v>
      </c>
      <c r="W7">
        <f t="shared" si="4"/>
        <v>400</v>
      </c>
      <c r="AP7" s="64" t="s">
        <v>48</v>
      </c>
      <c r="AQ7" s="73">
        <f>1-Significance_level</f>
        <v>0.9</v>
      </c>
      <c r="AS7" s="54"/>
      <c r="AT7" s="72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2:56" ht="15.75">
      <c r="B8" s="133">
        <f t="shared" si="5"/>
        <v>4</v>
      </c>
      <c r="C8" s="132">
        <v>80</v>
      </c>
      <c r="D8" s="158">
        <f t="shared" si="6"/>
        <v>90</v>
      </c>
      <c r="E8" s="66" t="s">
        <v>83</v>
      </c>
      <c r="F8" s="49"/>
      <c r="G8" s="49"/>
      <c r="H8" s="58"/>
      <c r="I8" s="49"/>
      <c r="J8" s="49"/>
      <c r="K8" s="49"/>
      <c r="L8" s="49"/>
      <c r="M8" s="49"/>
      <c r="N8" s="49"/>
      <c r="P8" s="67"/>
      <c r="Q8" s="68">
        <f t="shared" si="0"/>
        <v>80</v>
      </c>
      <c r="R8" s="70">
        <f t="shared" si="7"/>
        <v>90</v>
      </c>
      <c r="S8" s="63"/>
      <c r="T8" s="71">
        <f t="shared" si="1"/>
        <v>10</v>
      </c>
      <c r="U8" s="71">
        <f t="shared" si="2"/>
        <v>100</v>
      </c>
      <c r="V8">
        <f t="shared" si="3"/>
        <v>10</v>
      </c>
      <c r="W8">
        <f t="shared" si="4"/>
        <v>100</v>
      </c>
      <c r="AP8" s="64" t="s">
        <v>49</v>
      </c>
      <c r="AQ8" s="74">
        <v>0.01</v>
      </c>
      <c r="AR8" s="75"/>
      <c r="AS8" s="54"/>
      <c r="AT8" s="72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2:56" ht="15.75">
      <c r="B9" s="133">
        <f t="shared" si="5"/>
        <v>5</v>
      </c>
      <c r="C9" s="132">
        <v>68</v>
      </c>
      <c r="D9" s="158">
        <f t="shared" si="6"/>
        <v>88</v>
      </c>
      <c r="E9" s="66" t="s">
        <v>83</v>
      </c>
      <c r="F9" s="49"/>
      <c r="G9" s="49"/>
      <c r="H9" s="58"/>
      <c r="I9" s="61" t="s">
        <v>67</v>
      </c>
      <c r="J9" s="137">
        <f>$V$27/COUNT($V$5:$V$25)</f>
        <v>15</v>
      </c>
      <c r="K9" s="49"/>
      <c r="L9" s="49"/>
      <c r="M9" s="49"/>
      <c r="N9" s="49"/>
      <c r="P9" s="67"/>
      <c r="Q9" s="68">
        <f t="shared" si="0"/>
        <v>68</v>
      </c>
      <c r="R9" s="70">
        <f t="shared" si="7"/>
        <v>88</v>
      </c>
      <c r="S9" s="63"/>
      <c r="T9" s="71">
        <f t="shared" si="1"/>
        <v>20</v>
      </c>
      <c r="U9" s="71">
        <f t="shared" si="2"/>
        <v>400</v>
      </c>
      <c r="V9">
        <f t="shared" si="3"/>
        <v>20</v>
      </c>
      <c r="W9">
        <f t="shared" si="4"/>
        <v>400</v>
      </c>
      <c r="AP9" s="54" t="s">
        <v>50</v>
      </c>
      <c r="AQ9" s="76">
        <v>10313</v>
      </c>
      <c r="AR9" s="76"/>
      <c r="AS9" s="54"/>
      <c r="AT9" s="72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2:56" ht="15.75">
      <c r="B10" s="133">
        <f t="shared" si="5"/>
        <v>6</v>
      </c>
      <c r="C10" s="132">
        <v>94</v>
      </c>
      <c r="D10" s="158">
        <f t="shared" si="6"/>
        <v>84</v>
      </c>
      <c r="E10" s="66" t="s">
        <v>83</v>
      </c>
      <c r="F10" s="49"/>
      <c r="G10" s="58"/>
      <c r="H10" s="58"/>
      <c r="I10" s="61" t="s">
        <v>68</v>
      </c>
      <c r="J10" s="137">
        <f>$W$27/(COUNT($W$5:$W$25)-1)</f>
        <v>300</v>
      </c>
      <c r="K10" s="49"/>
      <c r="L10" s="49"/>
      <c r="M10" s="49"/>
      <c r="N10" s="49"/>
      <c r="P10" s="67"/>
      <c r="Q10" s="68">
        <f t="shared" si="0"/>
        <v>94</v>
      </c>
      <c r="R10" s="70">
        <f t="shared" si="7"/>
        <v>84</v>
      </c>
      <c r="S10" s="63"/>
      <c r="T10" s="71">
        <f t="shared" si="1"/>
        <v>10</v>
      </c>
      <c r="U10" s="71">
        <f t="shared" si="2"/>
        <v>100</v>
      </c>
      <c r="V10">
        <f t="shared" si="3"/>
        <v>10</v>
      </c>
      <c r="W10">
        <f t="shared" si="4"/>
        <v>100</v>
      </c>
      <c r="AP10" s="54"/>
      <c r="AS10" s="54"/>
      <c r="AT10" s="72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2:56" ht="15.75">
      <c r="B11" s="133">
        <f t="shared" si="5"/>
      </c>
      <c r="C11" s="132"/>
      <c r="D11" s="158">
        <f t="shared" si="6"/>
      </c>
      <c r="E11" s="66" t="s">
        <v>83</v>
      </c>
      <c r="F11" s="49"/>
      <c r="G11" s="58"/>
      <c r="H11" s="58"/>
      <c r="I11" s="138"/>
      <c r="J11" s="49"/>
      <c r="K11" s="49"/>
      <c r="L11" s="49"/>
      <c r="M11" s="49"/>
      <c r="N11" s="49"/>
      <c r="O11" s="32"/>
      <c r="P11" s="67"/>
      <c r="Q11" s="68">
        <f t="shared" si="0"/>
        <v>0</v>
      </c>
      <c r="R11" s="70" t="e">
        <f t="shared" si="7"/>
        <v>#N/A</v>
      </c>
      <c r="S11" s="63"/>
      <c r="T11" s="71" t="e">
        <f t="shared" si="1"/>
        <v>#N/A</v>
      </c>
      <c r="U11" s="71" t="e">
        <f t="shared" si="2"/>
        <v>#N/A</v>
      </c>
      <c r="V11">
        <f t="shared" si="3"/>
      </c>
      <c r="W11">
        <f t="shared" si="4"/>
      </c>
      <c r="AP11" s="54" t="s">
        <v>51</v>
      </c>
      <c r="AQ11" s="77" t="e">
        <f>Y_hat+TINV(Significance_level,dfE)*s*SQRT(1+(1/COUNT(x))+((PlannedAdExpense-AVERAGE(x))^2)/SSx)</f>
        <v>#REF!</v>
      </c>
      <c r="AS11" s="54"/>
      <c r="AT11" s="72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2:56" ht="15.75">
      <c r="B12" s="133">
        <f t="shared" si="5"/>
      </c>
      <c r="C12" s="132"/>
      <c r="D12" s="158">
        <f t="shared" si="6"/>
      </c>
      <c r="E12" s="66" t="s">
        <v>83</v>
      </c>
      <c r="G12" s="49"/>
      <c r="H12" s="58"/>
      <c r="I12" s="63"/>
      <c r="J12" s="49"/>
      <c r="K12" s="32"/>
      <c r="L12" s="32"/>
      <c r="M12" s="32"/>
      <c r="N12" s="32"/>
      <c r="O12" s="32"/>
      <c r="P12" s="67"/>
      <c r="Q12" s="68">
        <f t="shared" si="0"/>
        <v>0</v>
      </c>
      <c r="R12" s="70" t="e">
        <f t="shared" si="7"/>
        <v>#N/A</v>
      </c>
      <c r="S12" s="63"/>
      <c r="T12" s="71" t="e">
        <f t="shared" si="1"/>
        <v>#N/A</v>
      </c>
      <c r="U12" s="71" t="e">
        <f t="shared" si="2"/>
        <v>#N/A</v>
      </c>
      <c r="V12">
        <f t="shared" si="3"/>
      </c>
      <c r="W12">
        <f t="shared" si="4"/>
      </c>
      <c r="AP12" s="54" t="s">
        <v>52</v>
      </c>
      <c r="AQ12" s="77" t="e">
        <f>Y_hat-TINV(Significance_level,dfE)*s*SQRT(1+(1/COUNT(x))+((PlannedAdExpense-AVERAGE(x))^2)/SSx)</f>
        <v>#REF!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2:56" ht="15.75">
      <c r="B13" s="133">
        <f t="shared" si="5"/>
      </c>
      <c r="C13" s="132"/>
      <c r="D13" s="158">
        <f t="shared" si="6"/>
      </c>
      <c r="E13" s="66" t="s">
        <v>83</v>
      </c>
      <c r="G13" s="78"/>
      <c r="I13" s="63"/>
      <c r="J13" s="49"/>
      <c r="K13" s="32"/>
      <c r="L13" s="32"/>
      <c r="M13" s="32"/>
      <c r="N13" s="32"/>
      <c r="O13" s="32"/>
      <c r="P13" s="67"/>
      <c r="Q13" s="68">
        <f t="shared" si="0"/>
        <v>0</v>
      </c>
      <c r="R13" s="70" t="e">
        <f t="shared" si="7"/>
        <v>#N/A</v>
      </c>
      <c r="S13" s="63"/>
      <c r="T13" s="71" t="e">
        <f t="shared" si="1"/>
        <v>#N/A</v>
      </c>
      <c r="U13" s="71" t="e">
        <f t="shared" si="2"/>
        <v>#N/A</v>
      </c>
      <c r="V13">
        <f t="shared" si="3"/>
      </c>
      <c r="W13">
        <f t="shared" si="4"/>
      </c>
      <c r="AP13" s="54"/>
      <c r="AQ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2:43" ht="15.75">
      <c r="B14" s="133">
        <f t="shared" si="5"/>
      </c>
      <c r="C14" s="132"/>
      <c r="D14" s="158">
        <f t="shared" si="6"/>
      </c>
      <c r="E14" s="66" t="s">
        <v>83</v>
      </c>
      <c r="G14" s="49"/>
      <c r="H14" s="58"/>
      <c r="I14" s="63"/>
      <c r="J14" s="49"/>
      <c r="K14" s="32"/>
      <c r="L14" s="32"/>
      <c r="M14" s="32"/>
      <c r="N14" s="32"/>
      <c r="O14" s="32"/>
      <c r="P14" s="67"/>
      <c r="Q14" s="68">
        <f t="shared" si="0"/>
        <v>0</v>
      </c>
      <c r="R14" s="70" t="e">
        <f t="shared" si="7"/>
        <v>#N/A</v>
      </c>
      <c r="S14" s="63"/>
      <c r="T14" s="71" t="e">
        <f t="shared" si="1"/>
        <v>#N/A</v>
      </c>
      <c r="U14" s="71" t="e">
        <f t="shared" si="2"/>
        <v>#N/A</v>
      </c>
      <c r="V14">
        <f t="shared" si="3"/>
      </c>
      <c r="W14">
        <f t="shared" si="4"/>
      </c>
      <c r="X14" s="38"/>
      <c r="Y14" s="38"/>
      <c r="Z14" s="38"/>
      <c r="AA14" s="38"/>
      <c r="AB14" s="38"/>
      <c r="AP14" s="54"/>
      <c r="AQ14" s="54"/>
    </row>
    <row r="15" spans="1:43" ht="15.75">
      <c r="A15" s="79"/>
      <c r="B15" s="133">
        <f t="shared" si="5"/>
      </c>
      <c r="C15" s="132"/>
      <c r="D15" s="158">
        <f t="shared" si="6"/>
      </c>
      <c r="E15" s="66" t="s">
        <v>83</v>
      </c>
      <c r="G15" s="49"/>
      <c r="H15" s="58"/>
      <c r="I15" s="49"/>
      <c r="J15" s="49"/>
      <c r="P15" s="67"/>
      <c r="Q15" s="68">
        <f t="shared" si="0"/>
        <v>0</v>
      </c>
      <c r="R15" s="70" t="e">
        <f t="shared" si="7"/>
        <v>#N/A</v>
      </c>
      <c r="S15" s="63"/>
      <c r="T15" s="71" t="e">
        <f t="shared" si="1"/>
        <v>#N/A</v>
      </c>
      <c r="U15" s="71" t="e">
        <f t="shared" si="2"/>
        <v>#N/A</v>
      </c>
      <c r="V15">
        <f t="shared" si="3"/>
      </c>
      <c r="W15">
        <f t="shared" si="4"/>
      </c>
      <c r="X15" s="38"/>
      <c r="Y15" s="38"/>
      <c r="Z15" s="38"/>
      <c r="AA15" s="38"/>
      <c r="AB15" s="38"/>
      <c r="AP15" s="54"/>
      <c r="AQ15" s="72"/>
    </row>
    <row r="16" spans="1:43" ht="15.75">
      <c r="A16" s="79"/>
      <c r="B16" s="133">
        <f t="shared" si="5"/>
      </c>
      <c r="C16" s="132"/>
      <c r="D16" s="158">
        <f t="shared" si="6"/>
      </c>
      <c r="E16" s="66" t="s">
        <v>83</v>
      </c>
      <c r="G16" s="49"/>
      <c r="H16" s="58"/>
      <c r="I16" s="49"/>
      <c r="J16" s="49"/>
      <c r="P16" s="67"/>
      <c r="Q16" s="68">
        <f t="shared" si="0"/>
        <v>0</v>
      </c>
      <c r="R16" s="70" t="e">
        <f t="shared" si="7"/>
        <v>#N/A</v>
      </c>
      <c r="S16" s="63"/>
      <c r="T16" s="71" t="e">
        <f t="shared" si="1"/>
        <v>#N/A</v>
      </c>
      <c r="U16" s="71" t="e">
        <f t="shared" si="2"/>
        <v>#N/A</v>
      </c>
      <c r="V16">
        <f t="shared" si="3"/>
      </c>
      <c r="W16">
        <f t="shared" si="4"/>
      </c>
      <c r="X16" s="80"/>
      <c r="Y16" s="80"/>
      <c r="Z16" s="80"/>
      <c r="AA16" s="80"/>
      <c r="AB16" s="80"/>
      <c r="AP16" s="64"/>
      <c r="AQ16" s="54"/>
    </row>
    <row r="17" spans="1:43" ht="15.75">
      <c r="A17" s="79"/>
      <c r="B17" s="133">
        <f t="shared" si="5"/>
      </c>
      <c r="C17" s="132"/>
      <c r="D17" s="158">
        <f t="shared" si="6"/>
      </c>
      <c r="E17" s="66" t="s">
        <v>83</v>
      </c>
      <c r="G17" s="49"/>
      <c r="H17" s="58"/>
      <c r="I17" s="49"/>
      <c r="J17" s="49"/>
      <c r="P17" s="67"/>
      <c r="Q17" s="68">
        <f t="shared" si="0"/>
        <v>0</v>
      </c>
      <c r="R17" s="70" t="e">
        <f t="shared" si="7"/>
        <v>#N/A</v>
      </c>
      <c r="S17" s="63"/>
      <c r="T17" s="71" t="e">
        <f t="shared" si="1"/>
        <v>#N/A</v>
      </c>
      <c r="U17" s="71" t="e">
        <f t="shared" si="2"/>
        <v>#N/A</v>
      </c>
      <c r="V17">
        <f t="shared" si="3"/>
      </c>
      <c r="W17">
        <f t="shared" si="4"/>
      </c>
      <c r="AP17" s="64"/>
      <c r="AQ17" s="54"/>
    </row>
    <row r="18" spans="1:28" ht="15.75">
      <c r="A18" s="79"/>
      <c r="B18" s="133">
        <f t="shared" si="5"/>
      </c>
      <c r="C18" s="132"/>
      <c r="D18" s="158">
        <f t="shared" si="6"/>
      </c>
      <c r="E18" s="66" t="s">
        <v>83</v>
      </c>
      <c r="G18" s="49"/>
      <c r="H18" s="58"/>
      <c r="K18" s="38"/>
      <c r="P18" s="67"/>
      <c r="Q18" s="68">
        <f t="shared" si="0"/>
        <v>0</v>
      </c>
      <c r="R18" s="70" t="e">
        <f t="shared" si="7"/>
        <v>#N/A</v>
      </c>
      <c r="S18" s="63"/>
      <c r="T18" s="71" t="e">
        <f t="shared" si="1"/>
        <v>#N/A</v>
      </c>
      <c r="U18" s="71" t="e">
        <f t="shared" si="2"/>
        <v>#N/A</v>
      </c>
      <c r="V18">
        <f t="shared" si="3"/>
      </c>
      <c r="W18">
        <f t="shared" si="4"/>
      </c>
      <c r="X18" s="80"/>
      <c r="Y18" s="80"/>
      <c r="Z18" s="80"/>
      <c r="AA18" s="80"/>
      <c r="AB18" s="80"/>
    </row>
    <row r="19" spans="1:45" ht="15.75">
      <c r="A19" s="79"/>
      <c r="B19" s="133">
        <f t="shared" si="5"/>
      </c>
      <c r="C19" s="132"/>
      <c r="D19" s="158">
        <f t="shared" si="6"/>
      </c>
      <c r="E19" s="66" t="s">
        <v>83</v>
      </c>
      <c r="G19" s="49"/>
      <c r="H19" s="58"/>
      <c r="I19" s="116" t="s">
        <v>76</v>
      </c>
      <c r="J19" s="117" t="s">
        <v>77</v>
      </c>
      <c r="K19" s="38"/>
      <c r="P19" s="67"/>
      <c r="Q19" s="68">
        <f t="shared" si="0"/>
        <v>0</v>
      </c>
      <c r="R19" s="70" t="e">
        <f t="shared" si="7"/>
        <v>#N/A</v>
      </c>
      <c r="S19" s="63"/>
      <c r="T19" s="71" t="e">
        <f t="shared" si="1"/>
        <v>#N/A</v>
      </c>
      <c r="U19" s="71" t="e">
        <f t="shared" si="2"/>
        <v>#N/A</v>
      </c>
      <c r="V19">
        <f t="shared" si="3"/>
      </c>
      <c r="W19">
        <f t="shared" si="4"/>
      </c>
      <c r="AP19" s="48"/>
      <c r="AQ19" s="48"/>
      <c r="AR19" s="48"/>
      <c r="AS19" s="48"/>
    </row>
    <row r="20" spans="1:48" ht="15.75">
      <c r="A20" s="79"/>
      <c r="B20" s="133">
        <f t="shared" si="5"/>
      </c>
      <c r="C20" s="132"/>
      <c r="D20" s="158">
        <f t="shared" si="6"/>
      </c>
      <c r="E20" s="66" t="s">
        <v>83</v>
      </c>
      <c r="G20" s="49"/>
      <c r="H20" s="58"/>
      <c r="I20" s="119">
        <f>Time_Period1</f>
        <v>2</v>
      </c>
      <c r="J20" s="120">
        <v>0</v>
      </c>
      <c r="K20" s="38"/>
      <c r="P20" s="67"/>
      <c r="Q20" s="68">
        <f t="shared" si="0"/>
        <v>0</v>
      </c>
      <c r="R20" s="70" t="e">
        <f t="shared" si="7"/>
        <v>#N/A</v>
      </c>
      <c r="S20" s="63"/>
      <c r="T20" s="71" t="e">
        <f t="shared" si="1"/>
        <v>#N/A</v>
      </c>
      <c r="U20" s="71" t="e">
        <f t="shared" si="2"/>
        <v>#N/A</v>
      </c>
      <c r="V20">
        <f t="shared" si="3"/>
      </c>
      <c r="W20">
        <f t="shared" si="4"/>
      </c>
      <c r="AP20" s="48"/>
      <c r="AQ20" s="48"/>
      <c r="AR20" s="48"/>
      <c r="AS20" s="48"/>
      <c r="AU20" s="81" t="s">
        <v>53</v>
      </c>
      <c r="AV20" s="81" t="e">
        <f>AVERAGE(y)-B*(AVERAGE(x))</f>
        <v>#REF!</v>
      </c>
    </row>
    <row r="21" spans="1:48" ht="15.75">
      <c r="A21" s="79"/>
      <c r="B21" s="133">
        <f t="shared" si="5"/>
      </c>
      <c r="C21" s="132"/>
      <c r="D21" s="158">
        <f t="shared" si="6"/>
      </c>
      <c r="E21" s="66" t="s">
        <v>83</v>
      </c>
      <c r="G21" s="49"/>
      <c r="H21" s="58"/>
      <c r="I21" s="122">
        <f>Time_Period1</f>
        <v>2</v>
      </c>
      <c r="J21" s="123">
        <f>J7</f>
        <v>84</v>
      </c>
      <c r="K21" s="38"/>
      <c r="P21" s="67"/>
      <c r="Q21" s="68">
        <f t="shared" si="0"/>
        <v>0</v>
      </c>
      <c r="R21" s="70" t="e">
        <f t="shared" si="7"/>
        <v>#N/A</v>
      </c>
      <c r="S21" s="63"/>
      <c r="T21" s="71" t="e">
        <f t="shared" si="1"/>
        <v>#N/A</v>
      </c>
      <c r="U21" s="71" t="e">
        <f t="shared" si="2"/>
        <v>#N/A</v>
      </c>
      <c r="V21">
        <f t="shared" si="3"/>
      </c>
      <c r="W21">
        <f t="shared" si="4"/>
      </c>
      <c r="X21" s="82"/>
      <c r="Y21" s="82"/>
      <c r="Z21" s="82"/>
      <c r="AA21" s="82"/>
      <c r="AB21" s="82"/>
      <c r="AP21" s="48"/>
      <c r="AQ21" s="48"/>
      <c r="AR21" s="48"/>
      <c r="AS21" s="48"/>
      <c r="AU21" s="81" t="s">
        <v>54</v>
      </c>
      <c r="AV21" s="81" t="e">
        <f>SSxy/SSx</f>
        <v>#REF!</v>
      </c>
    </row>
    <row r="22" spans="1:48" ht="16.5" thickBot="1">
      <c r="A22" s="79"/>
      <c r="B22" s="160">
        <f t="shared" si="5"/>
      </c>
      <c r="C22" s="152"/>
      <c r="D22" s="165">
        <f t="shared" si="6"/>
      </c>
      <c r="E22" s="66" t="s">
        <v>83</v>
      </c>
      <c r="G22" s="49"/>
      <c r="H22" s="58"/>
      <c r="K22" s="38"/>
      <c r="P22" s="67"/>
      <c r="Q22" s="68">
        <f t="shared" si="0"/>
        <v>0</v>
      </c>
      <c r="R22" s="70" t="e">
        <f t="shared" si="7"/>
        <v>#N/A</v>
      </c>
      <c r="S22" s="63"/>
      <c r="T22" s="71" t="e">
        <f t="shared" si="1"/>
        <v>#N/A</v>
      </c>
      <c r="U22" s="71" t="e">
        <f t="shared" si="2"/>
        <v>#N/A</v>
      </c>
      <c r="V22">
        <f t="shared" si="3"/>
      </c>
      <c r="W22">
        <f t="shared" si="4"/>
      </c>
      <c r="X22" s="82"/>
      <c r="Y22" s="82"/>
      <c r="Z22" s="82"/>
      <c r="AA22" s="82"/>
      <c r="AB22" s="82"/>
      <c r="AG22" s="83"/>
      <c r="AH22" s="83"/>
      <c r="AP22" s="48"/>
      <c r="AQ22" s="48"/>
      <c r="AR22" s="48"/>
      <c r="AS22" s="48"/>
      <c r="AU22" s="81" t="s">
        <v>55</v>
      </c>
      <c r="AV22" s="81" t="e">
        <f>SUM(XY)-(SUM(x)*SUM(y)/COUNT(x))</f>
        <v>#REF!</v>
      </c>
    </row>
    <row r="23" spans="1:48" ht="15.75">
      <c r="A23" s="79"/>
      <c r="B23" s="133">
        <f t="shared" si="5"/>
      </c>
      <c r="C23" s="133"/>
      <c r="D23" s="159">
        <f t="shared" si="6"/>
      </c>
      <c r="E23" s="66"/>
      <c r="G23" s="49"/>
      <c r="H23" s="58"/>
      <c r="K23" s="38"/>
      <c r="P23" s="67"/>
      <c r="Q23" s="68">
        <f>C23</f>
        <v>0</v>
      </c>
      <c r="R23" s="70" t="e">
        <f>IF(ISBLANK(C23),#N/A,R22+Smoothing_Constant*(Q22-R22))</f>
        <v>#N/A</v>
      </c>
      <c r="S23" s="63"/>
      <c r="T23" s="71" t="e">
        <f t="shared" si="1"/>
        <v>#N/A</v>
      </c>
      <c r="U23" s="71" t="e">
        <f t="shared" si="2"/>
        <v>#N/A</v>
      </c>
      <c r="V23">
        <f t="shared" si="3"/>
      </c>
      <c r="W23">
        <f t="shared" si="4"/>
      </c>
      <c r="AG23" s="83"/>
      <c r="AH23" s="83"/>
      <c r="AR23" s="54"/>
      <c r="AU23" s="81" t="s">
        <v>56</v>
      </c>
      <c r="AV23" s="81" t="e">
        <f>SUM(x2_)-((SUM(x)*SUM(x))/COUNT(x))</f>
        <v>#REF!</v>
      </c>
    </row>
    <row r="24" spans="1:48" ht="15.75">
      <c r="A24" s="79"/>
      <c r="B24" s="133"/>
      <c r="C24" s="133"/>
      <c r="D24" s="134"/>
      <c r="E24" s="66"/>
      <c r="G24" s="49"/>
      <c r="H24" s="58"/>
      <c r="I24" s="125" t="s">
        <v>60</v>
      </c>
      <c r="J24" s="126"/>
      <c r="K24" s="127">
        <v>20</v>
      </c>
      <c r="P24" s="67"/>
      <c r="Q24" s="68">
        <f>C35</f>
        <v>0</v>
      </c>
      <c r="R24" s="70" t="e">
        <f>IF(ISBLANK(C35),#N/A,#REF!+Smoothing_Constant*(#REF!-#REF!))</f>
        <v>#N/A</v>
      </c>
      <c r="S24" s="63"/>
      <c r="T24" s="71" t="e">
        <f t="shared" si="1"/>
        <v>#N/A</v>
      </c>
      <c r="U24" s="71" t="e">
        <f t="shared" si="2"/>
        <v>#N/A</v>
      </c>
      <c r="V24">
        <f t="shared" si="3"/>
      </c>
      <c r="W24">
        <f t="shared" si="4"/>
      </c>
      <c r="X24" s="86"/>
      <c r="AG24" s="84"/>
      <c r="AH24" s="84"/>
      <c r="AP24" t="s">
        <v>57</v>
      </c>
      <c r="AQ24" t="e">
        <f>#REF!</f>
        <v>#REF!</v>
      </c>
      <c r="AR24" t="e">
        <f>IF(#REF!="",0,IF(AND(AQ25&lt;0.0001,AQ24&lt;0.0001),1,0))</f>
        <v>#REF!</v>
      </c>
      <c r="AT24" s="85" t="e">
        <f>IF(#REF!="",0,IF(AND(#REF!&gt;#REF!*(1-Answer_allowance),#REF!&lt;#REF!*(1+Answer_allowance)),1,0))</f>
        <v>#REF!</v>
      </c>
      <c r="AU24" s="81" t="s">
        <v>58</v>
      </c>
      <c r="AV24" s="81" t="e">
        <f>SUM(y2_)-SUM(y)^2/COUNT(y)</f>
        <v>#REF!</v>
      </c>
    </row>
    <row r="25" spans="1:43" ht="15.75">
      <c r="A25" s="79"/>
      <c r="B25" s="133"/>
      <c r="C25" s="133"/>
      <c r="D25" s="134"/>
      <c r="E25" s="66"/>
      <c r="G25" s="49"/>
      <c r="H25" s="58"/>
      <c r="I25" s="129" t="s">
        <v>78</v>
      </c>
      <c r="J25" s="130">
        <v>2</v>
      </c>
      <c r="K25" s="131"/>
      <c r="P25" s="67"/>
      <c r="Q25" s="68">
        <f>C36</f>
        <v>0</v>
      </c>
      <c r="R25" s="70" t="e">
        <f>IF(ISBLANK(C36),#N/A,R24+Smoothing_Constant*(Q24-R24))</f>
        <v>#N/A</v>
      </c>
      <c r="S25" s="63"/>
      <c r="T25" s="71" t="e">
        <f t="shared" si="1"/>
        <v>#N/A</v>
      </c>
      <c r="U25" s="71" t="e">
        <f t="shared" si="2"/>
        <v>#N/A</v>
      </c>
      <c r="V25">
        <f t="shared" si="3"/>
      </c>
      <c r="W25">
        <f t="shared" si="4"/>
      </c>
      <c r="X25" s="86"/>
      <c r="Y25" s="86"/>
      <c r="Z25" s="86"/>
      <c r="AA25" s="86"/>
      <c r="AB25" s="86"/>
      <c r="AG25" s="84"/>
      <c r="AH25" s="84"/>
      <c r="AP25" t="s">
        <v>59</v>
      </c>
      <c r="AQ25" s="87" t="e">
        <f>p_value_t</f>
        <v>#NAME?</v>
      </c>
    </row>
    <row r="26" spans="1:34" ht="15.75">
      <c r="A26" s="79"/>
      <c r="B26" s="133"/>
      <c r="C26" s="133"/>
      <c r="D26" s="134"/>
      <c r="E26" s="66"/>
      <c r="G26" s="49"/>
      <c r="H26" s="58"/>
      <c r="K26" s="38"/>
      <c r="P26" s="103"/>
      <c r="Q26" s="104"/>
      <c r="R26" s="104"/>
      <c r="S26" s="63"/>
      <c r="T26" s="105"/>
      <c r="U26" s="105"/>
      <c r="X26" s="106"/>
      <c r="Y26" s="86"/>
      <c r="Z26" s="86"/>
      <c r="AA26" s="86"/>
      <c r="AB26" s="86"/>
      <c r="AG26" s="84"/>
      <c r="AH26" s="84"/>
    </row>
    <row r="27" spans="1:24" ht="15.75">
      <c r="A27" s="79"/>
      <c r="B27" s="133"/>
      <c r="C27" s="133"/>
      <c r="D27" s="134"/>
      <c r="E27" s="66"/>
      <c r="O27" s="49"/>
      <c r="P27" s="107"/>
      <c r="Q27" s="108"/>
      <c r="R27" s="108"/>
      <c r="S27" s="109"/>
      <c r="T27" s="109"/>
      <c r="U27" s="110" t="s">
        <v>73</v>
      </c>
      <c r="V27" s="111">
        <f>SUM(V5:V25)</f>
        <v>90</v>
      </c>
      <c r="W27" s="111">
        <f>SUM(W5:W25)</f>
        <v>1500</v>
      </c>
      <c r="X27" s="106"/>
    </row>
    <row r="28" spans="1:28" ht="15.75">
      <c r="A28" s="79"/>
      <c r="B28" s="133"/>
      <c r="C28" s="133"/>
      <c r="D28" s="134"/>
      <c r="E28" s="66"/>
      <c r="O28" s="49"/>
      <c r="P28" s="107"/>
      <c r="Q28" s="108"/>
      <c r="R28" s="108"/>
      <c r="S28" s="108"/>
      <c r="T28" s="108"/>
      <c r="U28" s="108"/>
      <c r="V28" s="107"/>
      <c r="W28" s="107"/>
      <c r="X28" s="107"/>
      <c r="Y28" s="89"/>
      <c r="Z28" s="89"/>
      <c r="AA28" s="89"/>
      <c r="AB28" s="89"/>
    </row>
    <row r="29" spans="1:28" ht="15.75">
      <c r="A29" s="79"/>
      <c r="B29" s="133"/>
      <c r="C29" s="133"/>
      <c r="D29" s="134"/>
      <c r="E29" s="66"/>
      <c r="O29" s="49"/>
      <c r="P29" s="112"/>
      <c r="Q29" s="113"/>
      <c r="R29" s="113"/>
      <c r="S29" s="108"/>
      <c r="T29" s="108"/>
      <c r="U29" s="108"/>
      <c r="V29" s="107"/>
      <c r="W29" s="107"/>
      <c r="X29" s="107"/>
      <c r="Y29" s="86"/>
      <c r="Z29" s="86"/>
      <c r="AA29" s="86"/>
      <c r="AB29" s="86"/>
    </row>
    <row r="30" spans="1:55" ht="15.75">
      <c r="A30" s="79"/>
      <c r="B30" s="133"/>
      <c r="C30" s="133"/>
      <c r="D30" s="134"/>
      <c r="E30" s="66"/>
      <c r="O30" s="49"/>
      <c r="P30" s="112"/>
      <c r="Q30" s="113"/>
      <c r="R30" s="113"/>
      <c r="S30" s="113"/>
      <c r="T30" s="113"/>
      <c r="U30" s="113"/>
      <c r="V30" s="112"/>
      <c r="W30" s="112"/>
      <c r="X30" s="112"/>
      <c r="Y30" s="89"/>
      <c r="Z30" s="89"/>
      <c r="AA30" s="89"/>
      <c r="AB30" s="89"/>
      <c r="AU30" s="60" t="s">
        <v>0</v>
      </c>
      <c r="AV30" s="60" t="s">
        <v>1</v>
      </c>
      <c r="AW30" s="60" t="s">
        <v>61</v>
      </c>
      <c r="AX30" s="60" t="s">
        <v>62</v>
      </c>
      <c r="AY30" s="60" t="s">
        <v>63</v>
      </c>
      <c r="AZ30" s="60" t="s">
        <v>64</v>
      </c>
      <c r="BA30" s="60" t="s">
        <v>65</v>
      </c>
      <c r="BB30" s="60" t="s">
        <v>66</v>
      </c>
      <c r="BC30" s="61" t="s">
        <v>27</v>
      </c>
    </row>
    <row r="31" spans="1:55" ht="15.75">
      <c r="A31" s="79"/>
      <c r="B31" s="133"/>
      <c r="C31" s="133"/>
      <c r="D31" s="134"/>
      <c r="E31" s="66"/>
      <c r="O31" s="49"/>
      <c r="P31" s="107"/>
      <c r="Q31" s="108"/>
      <c r="R31" s="108"/>
      <c r="S31" s="113"/>
      <c r="T31" s="113"/>
      <c r="U31" s="113"/>
      <c r="V31" s="112"/>
      <c r="W31" s="112"/>
      <c r="X31" s="112"/>
      <c r="Y31" s="86"/>
      <c r="Z31" s="86"/>
      <c r="AA31" s="86"/>
      <c r="AB31" s="86"/>
      <c r="AU31" s="91">
        <f>IF(C5="","",B5)</f>
        <v>1</v>
      </c>
      <c r="AV31" s="92">
        <f>IF(C5&lt;&gt;"",C5,"")</f>
        <v>100</v>
      </c>
      <c r="AW31" s="91">
        <f aca="true" t="shared" si="8" ref="AW31:AW50">IF(AU31&lt;&gt;"",AU31^2,"")</f>
        <v>1</v>
      </c>
      <c r="AX31" s="93">
        <f aca="true" t="shared" si="9" ref="AX31:AX50">IF(AU31&lt;&gt;"",AV31^2,"")</f>
        <v>10000</v>
      </c>
      <c r="AY31" s="91">
        <f aca="true" t="shared" si="10" ref="AY31:AY50">IF(AU31&lt;&gt;"",AU31*AV31,"")</f>
        <v>100</v>
      </c>
      <c r="AZ31" s="94" t="e">
        <f aca="true" t="shared" si="11" ref="AZ31:AZ50">IF(AU31&lt;&gt;"",AVERAGE(y),"")</f>
        <v>#REF!</v>
      </c>
      <c r="BA31" s="94" t="e">
        <f aca="true" t="shared" si="12" ref="BA31:BA50">IF(AZ31="","",y-Ybar)</f>
        <v>#REF!</v>
      </c>
      <c r="BB31" s="94" t="e">
        <f aca="true" t="shared" si="13" ref="BB31:BB50">IF(x="","",x-AVERAGE(x))</f>
        <v>#REF!</v>
      </c>
      <c r="BC31" s="95" t="e">
        <f>A+B5*B</f>
        <v>#REF!</v>
      </c>
    </row>
    <row r="32" spans="1:57" ht="15.75">
      <c r="A32" s="79"/>
      <c r="B32" s="133"/>
      <c r="C32" s="133"/>
      <c r="D32" s="134"/>
      <c r="E32" s="66"/>
      <c r="O32" s="49"/>
      <c r="P32" s="107"/>
      <c r="Q32" s="108"/>
      <c r="R32" s="108"/>
      <c r="S32" s="108"/>
      <c r="T32" s="108"/>
      <c r="U32" s="108"/>
      <c r="V32" s="107"/>
      <c r="W32" s="107"/>
      <c r="X32" s="107"/>
      <c r="Y32" s="86"/>
      <c r="Z32" s="86"/>
      <c r="AA32" s="86"/>
      <c r="AB32" s="86"/>
      <c r="AU32" s="91">
        <f>IF(C6="","",B6)</f>
        <v>2</v>
      </c>
      <c r="AV32" s="92">
        <f>IF(C6&lt;&gt;"",C6,"")</f>
        <v>94</v>
      </c>
      <c r="AW32" s="91">
        <f t="shared" si="8"/>
        <v>4</v>
      </c>
      <c r="AX32" s="93">
        <f t="shared" si="9"/>
        <v>8836</v>
      </c>
      <c r="AY32" s="91">
        <f t="shared" si="10"/>
        <v>188</v>
      </c>
      <c r="AZ32" s="94" t="e">
        <f t="shared" si="11"/>
        <v>#REF!</v>
      </c>
      <c r="BA32" s="94" t="e">
        <f t="shared" si="12"/>
        <v>#REF!</v>
      </c>
      <c r="BB32" s="94" t="e">
        <f t="shared" si="13"/>
        <v>#REF!</v>
      </c>
      <c r="BC32" s="95" t="e">
        <f>A+B6*B</f>
        <v>#REF!</v>
      </c>
      <c r="BE32" s="32" t="s">
        <v>69</v>
      </c>
    </row>
    <row r="33" spans="1:55" ht="16.5" thickBot="1">
      <c r="A33" s="79"/>
      <c r="B33" s="133"/>
      <c r="C33" s="133"/>
      <c r="D33" s="134"/>
      <c r="E33" s="66"/>
      <c r="F33" s="49"/>
      <c r="G33" s="49"/>
      <c r="H33" s="58"/>
      <c r="I33" s="49"/>
      <c r="J33" s="49"/>
      <c r="K33" s="49"/>
      <c r="L33" s="49"/>
      <c r="M33" s="49"/>
      <c r="N33" s="49"/>
      <c r="O33" s="49"/>
      <c r="P33" s="106"/>
      <c r="Q33" s="109"/>
      <c r="R33" s="109"/>
      <c r="S33" s="108"/>
      <c r="T33" s="108"/>
      <c r="U33" s="108"/>
      <c r="V33" s="107"/>
      <c r="W33" s="107"/>
      <c r="X33" s="107"/>
      <c r="Y33" s="89"/>
      <c r="Z33" s="89"/>
      <c r="AA33" s="89"/>
      <c r="AB33" s="89"/>
      <c r="AU33" s="91">
        <f>IF(C7="","",B7)</f>
        <v>3</v>
      </c>
      <c r="AV33" s="92">
        <f>IF(C7&lt;&gt;"",C7,"")</f>
        <v>106</v>
      </c>
      <c r="AW33" s="91">
        <f t="shared" si="8"/>
        <v>9</v>
      </c>
      <c r="AX33" s="93">
        <f t="shared" si="9"/>
        <v>11236</v>
      </c>
      <c r="AY33" s="91">
        <f t="shared" si="10"/>
        <v>318</v>
      </c>
      <c r="AZ33" s="94" t="e">
        <f t="shared" si="11"/>
        <v>#REF!</v>
      </c>
      <c r="BA33" s="94" t="e">
        <f t="shared" si="12"/>
        <v>#REF!</v>
      </c>
      <c r="BB33" s="94" t="e">
        <f t="shared" si="13"/>
        <v>#REF!</v>
      </c>
      <c r="BC33" s="95" t="e">
        <f>A+B7*B</f>
        <v>#REF!</v>
      </c>
    </row>
    <row r="34" spans="1:58" ht="15.75">
      <c r="A34" s="79"/>
      <c r="B34" s="133"/>
      <c r="C34" s="133"/>
      <c r="D34" s="134"/>
      <c r="E34" s="66"/>
      <c r="F34" s="49"/>
      <c r="G34" s="58"/>
      <c r="H34" s="139"/>
      <c r="I34" s="49"/>
      <c r="J34" s="49"/>
      <c r="K34" s="49"/>
      <c r="L34" s="49"/>
      <c r="M34" s="49"/>
      <c r="N34" s="49"/>
      <c r="O34" s="49"/>
      <c r="R34" s="124"/>
      <c r="S34" s="109"/>
      <c r="T34" s="109"/>
      <c r="U34" s="109"/>
      <c r="V34" s="106"/>
      <c r="W34" s="106"/>
      <c r="X34" s="106"/>
      <c r="Y34" s="86"/>
      <c r="Z34" s="86"/>
      <c r="AA34" s="86"/>
      <c r="AB34" s="86"/>
      <c r="AU34" s="91">
        <f>IF(C8="","",B8)</f>
        <v>4</v>
      </c>
      <c r="AV34" s="92">
        <f>IF(C8&lt;&gt;"",C8,"")</f>
        <v>80</v>
      </c>
      <c r="AW34" s="91">
        <f t="shared" si="8"/>
        <v>16</v>
      </c>
      <c r="AX34" s="93">
        <f t="shared" si="9"/>
        <v>6400</v>
      </c>
      <c r="AY34" s="91">
        <f t="shared" si="10"/>
        <v>320</v>
      </c>
      <c r="AZ34" s="94" t="e">
        <f t="shared" si="11"/>
        <v>#REF!</v>
      </c>
      <c r="BA34" s="94" t="e">
        <f t="shared" si="12"/>
        <v>#REF!</v>
      </c>
      <c r="BB34" s="94" t="e">
        <f t="shared" si="13"/>
        <v>#REF!</v>
      </c>
      <c r="BC34" s="95" t="e">
        <f>A+B8*B</f>
        <v>#REF!</v>
      </c>
      <c r="BE34" s="96" t="s">
        <v>70</v>
      </c>
      <c r="BF34" s="96"/>
    </row>
    <row r="35" spans="1:58" ht="15.75">
      <c r="A35" s="79"/>
      <c r="B35" s="133"/>
      <c r="C35" s="133"/>
      <c r="D35" s="134"/>
      <c r="E35" s="66"/>
      <c r="F35" s="49"/>
      <c r="G35" s="58"/>
      <c r="H35" s="139"/>
      <c r="I35" s="49"/>
      <c r="J35" s="140"/>
      <c r="K35" s="49"/>
      <c r="L35" s="49"/>
      <c r="M35" s="49"/>
      <c r="N35" s="49"/>
      <c r="O35" s="49"/>
      <c r="R35" s="124"/>
      <c r="S35" s="124"/>
      <c r="T35" s="124"/>
      <c r="U35" s="124"/>
      <c r="V35" s="52"/>
      <c r="W35" s="52"/>
      <c r="X35" s="52"/>
      <c r="Y35" s="86"/>
      <c r="Z35" s="86"/>
      <c r="AA35" s="86"/>
      <c r="AB35" s="86"/>
      <c r="AU35" s="91">
        <f>IF(C9="","",B9)</f>
        <v>5</v>
      </c>
      <c r="AV35" s="92">
        <f>IF(C9&lt;&gt;"",C9,"")</f>
        <v>68</v>
      </c>
      <c r="AW35" s="91">
        <f t="shared" si="8"/>
        <v>25</v>
      </c>
      <c r="AX35" s="93">
        <f t="shared" si="9"/>
        <v>4624</v>
      </c>
      <c r="AY35" s="91">
        <f t="shared" si="10"/>
        <v>340</v>
      </c>
      <c r="AZ35" s="94" t="e">
        <f t="shared" si="11"/>
        <v>#REF!</v>
      </c>
      <c r="BA35" s="94" t="e">
        <f t="shared" si="12"/>
        <v>#REF!</v>
      </c>
      <c r="BB35" s="94" t="e">
        <f t="shared" si="13"/>
        <v>#REF!</v>
      </c>
      <c r="BC35" s="95" t="e">
        <f>A+B9*B</f>
        <v>#REF!</v>
      </c>
      <c r="BE35" s="97" t="s">
        <v>71</v>
      </c>
      <c r="BF35" s="81" t="e">
        <f>(SSxy/SQRT(SSx*SSy))</f>
        <v>#REF!</v>
      </c>
    </row>
    <row r="36" spans="1:63" ht="13.5" thickBot="1">
      <c r="A36" s="79"/>
      <c r="B36" s="133"/>
      <c r="C36" s="133"/>
      <c r="D36" s="134"/>
      <c r="E36" s="98"/>
      <c r="F36" s="49"/>
      <c r="G36" s="49"/>
      <c r="H36" s="58"/>
      <c r="I36" s="49"/>
      <c r="J36" s="49"/>
      <c r="K36" s="49"/>
      <c r="L36" s="49"/>
      <c r="M36" s="49"/>
      <c r="N36" s="49"/>
      <c r="O36" s="49"/>
      <c r="R36" s="128"/>
      <c r="S36" s="124"/>
      <c r="T36" s="124"/>
      <c r="U36" s="124"/>
      <c r="V36" s="52"/>
      <c r="W36" s="52"/>
      <c r="X36" s="52"/>
      <c r="Y36" s="86"/>
      <c r="Z36" s="86"/>
      <c r="AA36" s="86"/>
      <c r="AB36" s="86"/>
      <c r="AU36" s="91">
        <f>IF(C23="","",B23)</f>
      </c>
      <c r="AV36" s="92">
        <f>IF(C23&lt;&gt;"",C23,"")</f>
      </c>
      <c r="AW36" s="91">
        <f t="shared" si="8"/>
      </c>
      <c r="AX36" s="93">
        <f t="shared" si="9"/>
      </c>
      <c r="AY36" s="91">
        <f t="shared" si="10"/>
      </c>
      <c r="AZ36" s="94">
        <f t="shared" si="11"/>
      </c>
      <c r="BA36" s="94">
        <f t="shared" si="12"/>
      </c>
      <c r="BB36" s="94">
        <f t="shared" si="13"/>
      </c>
      <c r="BC36" s="95" t="e">
        <f>A+B23*B</f>
        <v>#REF!</v>
      </c>
      <c r="BE36" s="99" t="s">
        <v>72</v>
      </c>
      <c r="BF36" s="100" t="e">
        <f>B</f>
        <v>#REF!</v>
      </c>
      <c r="BG36" s="100" t="e">
        <f>s/SQRT(SSx)</f>
        <v>#REF!</v>
      </c>
      <c r="BH36" s="100" t="e">
        <f>Slope/BG36</f>
        <v>#REF!</v>
      </c>
      <c r="BI36" s="101" t="e">
        <f>TDIST(BH36,Observations-2,2)</f>
        <v>#REF!</v>
      </c>
      <c r="BJ36" s="102" t="e">
        <f>Slope-TINV(Significance_level,Observations-2)*BG36</f>
        <v>#REF!</v>
      </c>
      <c r="BK36" s="102" t="e">
        <f>Slope+TINV(Significance_level,Observations-2)*BG36</f>
        <v>#REF!</v>
      </c>
    </row>
    <row r="37" spans="1:55" ht="12.75">
      <c r="A37" s="79"/>
      <c r="B37" s="103"/>
      <c r="C37" s="98"/>
      <c r="D37" s="98"/>
      <c r="E37" s="98"/>
      <c r="F37" s="49"/>
      <c r="G37" s="49"/>
      <c r="H37" s="58"/>
      <c r="I37" s="49"/>
      <c r="J37" s="49"/>
      <c r="K37" s="49"/>
      <c r="L37" s="49"/>
      <c r="M37" s="49"/>
      <c r="N37" s="49"/>
      <c r="R37" s="128"/>
      <c r="S37" s="128"/>
      <c r="T37" s="128"/>
      <c r="U37" s="128"/>
      <c r="V37" s="59"/>
      <c r="W37" s="59"/>
      <c r="X37" s="59"/>
      <c r="Y37" s="106"/>
      <c r="Z37" s="106"/>
      <c r="AA37" s="106"/>
      <c r="AB37" s="106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U37" s="91" t="e">
        <f>IF(#REF!="","",#REF!)</f>
        <v>#REF!</v>
      </c>
      <c r="AV37" s="92" t="e">
        <f>IF(#REF!&lt;&gt;"",#REF!,"")</f>
        <v>#REF!</v>
      </c>
      <c r="AW37" s="91" t="e">
        <f t="shared" si="8"/>
        <v>#REF!</v>
      </c>
      <c r="AX37" s="93" t="e">
        <f t="shared" si="9"/>
        <v>#REF!</v>
      </c>
      <c r="AY37" s="91" t="e">
        <f t="shared" si="10"/>
        <v>#REF!</v>
      </c>
      <c r="AZ37" s="94" t="e">
        <f t="shared" si="11"/>
        <v>#REF!</v>
      </c>
      <c r="BA37" s="94" t="e">
        <f t="shared" si="12"/>
        <v>#REF!</v>
      </c>
      <c r="BB37" s="94" t="e">
        <f t="shared" si="13"/>
        <v>#REF!</v>
      </c>
      <c r="BC37" s="95" t="e">
        <f>A+#REF!*B</f>
        <v>#REF!</v>
      </c>
    </row>
    <row r="38" spans="2:55" ht="12.75">
      <c r="B38" s="103"/>
      <c r="C38" s="98"/>
      <c r="D38" s="98"/>
      <c r="E38" s="98"/>
      <c r="F38" s="49"/>
      <c r="G38" s="49"/>
      <c r="H38" s="58"/>
      <c r="I38" s="49"/>
      <c r="J38" s="49"/>
      <c r="K38" s="49"/>
      <c r="L38" s="49"/>
      <c r="M38" s="49"/>
      <c r="N38" s="49"/>
      <c r="S38" s="128"/>
      <c r="T38" s="128"/>
      <c r="U38" s="128"/>
      <c r="V38" s="59"/>
      <c r="W38" s="59"/>
      <c r="X38" s="59"/>
      <c r="Y38" s="106"/>
      <c r="Z38" s="106"/>
      <c r="AA38" s="106"/>
      <c r="AB38" s="106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U38" s="91" t="e">
        <f>IF(#REF!="","",#REF!)</f>
        <v>#REF!</v>
      </c>
      <c r="AV38" s="92" t="e">
        <f>IF(#REF!&lt;&gt;"",#REF!,"")</f>
        <v>#REF!</v>
      </c>
      <c r="AW38" s="91" t="e">
        <f t="shared" si="8"/>
        <v>#REF!</v>
      </c>
      <c r="AX38" s="93" t="e">
        <f t="shared" si="9"/>
        <v>#REF!</v>
      </c>
      <c r="AY38" s="91" t="e">
        <f t="shared" si="10"/>
        <v>#REF!</v>
      </c>
      <c r="AZ38" s="94" t="e">
        <f t="shared" si="11"/>
        <v>#REF!</v>
      </c>
      <c r="BA38" s="94" t="e">
        <f t="shared" si="12"/>
        <v>#REF!</v>
      </c>
      <c r="BB38" s="94" t="e">
        <f t="shared" si="13"/>
        <v>#REF!</v>
      </c>
      <c r="BC38" s="95" t="e">
        <f>A+#REF!*B</f>
        <v>#REF!</v>
      </c>
    </row>
    <row r="39" spans="1:57" ht="15.75">
      <c r="A39" s="79"/>
      <c r="B39" s="103"/>
      <c r="C39" s="98"/>
      <c r="D39" s="98"/>
      <c r="E39" s="98"/>
      <c r="J39" s="107"/>
      <c r="K39" s="107"/>
      <c r="L39" s="107"/>
      <c r="M39" s="107"/>
      <c r="N39" s="107"/>
      <c r="O39" s="107"/>
      <c r="Y39" s="107"/>
      <c r="Z39" s="107"/>
      <c r="AA39" s="107"/>
      <c r="AB39" s="107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U39" s="91" t="e">
        <f>IF(#REF!="","",#REF!)</f>
        <v>#REF!</v>
      </c>
      <c r="AV39" s="92" t="e">
        <f>IF(#REF!&lt;&gt;"",#REF!,"")</f>
        <v>#REF!</v>
      </c>
      <c r="AW39" s="91" t="e">
        <f t="shared" si="8"/>
        <v>#REF!</v>
      </c>
      <c r="AX39" s="93" t="e">
        <f t="shared" si="9"/>
        <v>#REF!</v>
      </c>
      <c r="AY39" s="91" t="e">
        <f t="shared" si="10"/>
        <v>#REF!</v>
      </c>
      <c r="AZ39" s="94" t="e">
        <f t="shared" si="11"/>
        <v>#REF!</v>
      </c>
      <c r="BA39" s="94" t="e">
        <f t="shared" si="12"/>
        <v>#REF!</v>
      </c>
      <c r="BB39" s="94" t="e">
        <f t="shared" si="13"/>
        <v>#REF!</v>
      </c>
      <c r="BC39" s="95" t="e">
        <f>A+#REF!*B</f>
        <v>#REF!</v>
      </c>
      <c r="BE39" s="32" t="str">
        <f>CONCATENATE(Confidence_level*100,"% Prediction Interval Estimate")</f>
        <v>90% Prediction Interval Estimate</v>
      </c>
    </row>
    <row r="40" spans="1:63" ht="15.75">
      <c r="A40" s="79"/>
      <c r="E40" s="98"/>
      <c r="J40" s="112"/>
      <c r="K40" s="112"/>
      <c r="L40" s="112"/>
      <c r="M40" s="112"/>
      <c r="N40" s="112"/>
      <c r="O40" s="112"/>
      <c r="Y40" s="107"/>
      <c r="Z40" s="107"/>
      <c r="AA40" s="107"/>
      <c r="AB40" s="107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U40" s="91" t="e">
        <f>IF(#REF!="","",#REF!)</f>
        <v>#REF!</v>
      </c>
      <c r="AV40" s="92" t="e">
        <f>IF(#REF!&lt;&gt;"",#REF!,"")</f>
        <v>#REF!</v>
      </c>
      <c r="AW40" s="91" t="e">
        <f t="shared" si="8"/>
        <v>#REF!</v>
      </c>
      <c r="AX40" s="93" t="e">
        <f t="shared" si="9"/>
        <v>#REF!</v>
      </c>
      <c r="AY40" s="91" t="e">
        <f t="shared" si="10"/>
        <v>#REF!</v>
      </c>
      <c r="AZ40" s="94" t="e">
        <f t="shared" si="11"/>
        <v>#REF!</v>
      </c>
      <c r="BA40" s="94" t="e">
        <f t="shared" si="12"/>
        <v>#REF!</v>
      </c>
      <c r="BB40" s="94" t="e">
        <f t="shared" si="13"/>
        <v>#REF!</v>
      </c>
      <c r="BC40" s="95" t="e">
        <f>A+#REF!*B</f>
        <v>#REF!</v>
      </c>
      <c r="BE40" s="114" t="s">
        <v>74</v>
      </c>
      <c r="BF40" s="115" t="e">
        <f>Y_hat_UL</f>
        <v>#REF!</v>
      </c>
      <c r="BG40" s="48"/>
      <c r="BH40" s="48"/>
      <c r="BI40" s="48"/>
      <c r="BJ40" s="48"/>
      <c r="BK40" s="48"/>
    </row>
    <row r="41" spans="5:63" ht="15.75">
      <c r="E41" s="98"/>
      <c r="J41" s="112"/>
      <c r="K41" s="112"/>
      <c r="L41" s="112"/>
      <c r="M41" s="112"/>
      <c r="N41" s="112"/>
      <c r="O41" s="112"/>
      <c r="Y41" s="112"/>
      <c r="Z41" s="112"/>
      <c r="AA41" s="112"/>
      <c r="AB41" s="112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U41" s="91" t="e">
        <f>IF(#REF!="","",#REF!)</f>
        <v>#REF!</v>
      </c>
      <c r="AV41" s="92" t="e">
        <f>IF(#REF!&lt;&gt;"",#REF!,"")</f>
        <v>#REF!</v>
      </c>
      <c r="AW41" s="91" t="e">
        <f t="shared" si="8"/>
        <v>#REF!</v>
      </c>
      <c r="AX41" s="93" t="e">
        <f t="shared" si="9"/>
        <v>#REF!</v>
      </c>
      <c r="AY41" s="91" t="e">
        <f t="shared" si="10"/>
        <v>#REF!</v>
      </c>
      <c r="AZ41" s="94" t="e">
        <f t="shared" si="11"/>
        <v>#REF!</v>
      </c>
      <c r="BA41" s="94" t="e">
        <f t="shared" si="12"/>
        <v>#REF!</v>
      </c>
      <c r="BB41" s="94" t="e">
        <f t="shared" si="13"/>
        <v>#REF!</v>
      </c>
      <c r="BC41" s="95" t="e">
        <f>A+#REF!*B</f>
        <v>#REF!</v>
      </c>
      <c r="BE41" s="114" t="s">
        <v>75</v>
      </c>
      <c r="BF41" s="115" t="e">
        <f>n</f>
        <v>#REF!</v>
      </c>
      <c r="BG41" s="48"/>
      <c r="BH41" s="48"/>
      <c r="BI41" s="48"/>
      <c r="BJ41" s="48"/>
      <c r="BK41" s="48"/>
    </row>
    <row r="42" spans="5:63" ht="15.75">
      <c r="E42" s="98"/>
      <c r="J42" s="107"/>
      <c r="K42" s="107"/>
      <c r="L42" s="107"/>
      <c r="M42" s="107"/>
      <c r="N42" s="107"/>
      <c r="O42" s="107"/>
      <c r="Y42" s="112"/>
      <c r="Z42" s="112"/>
      <c r="AA42" s="112"/>
      <c r="AB42" s="112"/>
      <c r="AG42" s="48"/>
      <c r="AH42" s="48"/>
      <c r="AI42" s="48"/>
      <c r="AJ42" s="48"/>
      <c r="AK42" s="48"/>
      <c r="AL42" s="48"/>
      <c r="AM42" s="48"/>
      <c r="AN42" s="48"/>
      <c r="AO42" s="48"/>
      <c r="AP42" s="118"/>
      <c r="AQ42" s="118"/>
      <c r="AR42" s="118"/>
      <c r="AS42" s="48"/>
      <c r="AU42" s="91" t="e">
        <f>IF(#REF!="","",#REF!)</f>
        <v>#REF!</v>
      </c>
      <c r="AV42" s="92" t="e">
        <f>IF(#REF!&lt;&gt;"",#REF!,"")</f>
        <v>#REF!</v>
      </c>
      <c r="AW42" s="91" t="e">
        <f t="shared" si="8"/>
        <v>#REF!</v>
      </c>
      <c r="AX42" s="93" t="e">
        <f t="shared" si="9"/>
        <v>#REF!</v>
      </c>
      <c r="AY42" s="91" t="e">
        <f t="shared" si="10"/>
        <v>#REF!</v>
      </c>
      <c r="AZ42" s="94" t="e">
        <f t="shared" si="11"/>
        <v>#REF!</v>
      </c>
      <c r="BA42" s="94" t="e">
        <f t="shared" si="12"/>
        <v>#REF!</v>
      </c>
      <c r="BB42" s="94" t="e">
        <f t="shared" si="13"/>
        <v>#REF!</v>
      </c>
      <c r="BC42" s="95" t="e">
        <f>A+#REF!*B</f>
        <v>#REF!</v>
      </c>
      <c r="BE42" s="48"/>
      <c r="BF42" s="48"/>
      <c r="BG42" s="48"/>
      <c r="BH42" s="48"/>
      <c r="BI42" s="48"/>
      <c r="BJ42" s="48"/>
      <c r="BK42" s="48"/>
    </row>
    <row r="43" spans="5:55" ht="15.75">
      <c r="E43" s="98"/>
      <c r="J43" s="107"/>
      <c r="K43" s="107"/>
      <c r="L43" s="107"/>
      <c r="M43" s="107"/>
      <c r="N43" s="107"/>
      <c r="O43" s="107"/>
      <c r="Y43" s="107"/>
      <c r="Z43" s="107"/>
      <c r="AA43" s="107"/>
      <c r="AB43" s="107"/>
      <c r="AG43" s="48"/>
      <c r="AH43" s="48"/>
      <c r="AI43" s="48"/>
      <c r="AJ43" s="48"/>
      <c r="AK43" s="48"/>
      <c r="AL43" s="48"/>
      <c r="AM43" s="48"/>
      <c r="AN43" s="48"/>
      <c r="AO43" s="48"/>
      <c r="AP43" s="121"/>
      <c r="AQ43" s="121"/>
      <c r="AR43" s="121"/>
      <c r="AS43" s="48"/>
      <c r="AU43" s="91" t="e">
        <f>IF(#REF!="","",#REF!)</f>
        <v>#REF!</v>
      </c>
      <c r="AV43" s="92" t="e">
        <f>IF(#REF!&lt;&gt;"",#REF!,"")</f>
        <v>#REF!</v>
      </c>
      <c r="AW43" s="91" t="e">
        <f t="shared" si="8"/>
        <v>#REF!</v>
      </c>
      <c r="AX43" s="93" t="e">
        <f t="shared" si="9"/>
        <v>#REF!</v>
      </c>
      <c r="AY43" s="91" t="e">
        <f t="shared" si="10"/>
        <v>#REF!</v>
      </c>
      <c r="AZ43" s="94" t="e">
        <f t="shared" si="11"/>
        <v>#REF!</v>
      </c>
      <c r="BA43" s="94" t="e">
        <f t="shared" si="12"/>
        <v>#REF!</v>
      </c>
      <c r="BB43" s="94" t="e">
        <f t="shared" si="13"/>
        <v>#REF!</v>
      </c>
      <c r="BC43" s="95" t="e">
        <f>A+#REF!*B</f>
        <v>#REF!</v>
      </c>
    </row>
    <row r="44" spans="5:55" ht="15.75">
      <c r="E44" s="98"/>
      <c r="J44" s="106"/>
      <c r="K44" s="106"/>
      <c r="L44" s="106"/>
      <c r="M44" s="106"/>
      <c r="N44" s="106"/>
      <c r="O44" s="106"/>
      <c r="Y44" s="107"/>
      <c r="Z44" s="107"/>
      <c r="AA44" s="107"/>
      <c r="AB44" s="107"/>
      <c r="AG44" s="48"/>
      <c r="AH44" s="48"/>
      <c r="AI44" s="48"/>
      <c r="AJ44" s="48"/>
      <c r="AK44" s="48"/>
      <c r="AL44" s="48"/>
      <c r="AM44" s="48"/>
      <c r="AN44" s="48"/>
      <c r="AO44" s="48"/>
      <c r="AP44" s="121"/>
      <c r="AQ44" s="121"/>
      <c r="AR44" s="121"/>
      <c r="AS44" s="48"/>
      <c r="AU44" s="91" t="e">
        <f>IF(#REF!="","",#REF!)</f>
        <v>#REF!</v>
      </c>
      <c r="AV44" s="92" t="e">
        <f>IF(#REF!&lt;&gt;"",#REF!,"")</f>
        <v>#REF!</v>
      </c>
      <c r="AW44" s="91" t="e">
        <f t="shared" si="8"/>
        <v>#REF!</v>
      </c>
      <c r="AX44" s="93" t="e">
        <f t="shared" si="9"/>
        <v>#REF!</v>
      </c>
      <c r="AY44" s="91" t="e">
        <f t="shared" si="10"/>
        <v>#REF!</v>
      </c>
      <c r="AZ44" s="94" t="e">
        <f t="shared" si="11"/>
        <v>#REF!</v>
      </c>
      <c r="BA44" s="94" t="e">
        <f t="shared" si="12"/>
        <v>#REF!</v>
      </c>
      <c r="BB44" s="94" t="e">
        <f t="shared" si="13"/>
        <v>#REF!</v>
      </c>
      <c r="BC44" s="95" t="e">
        <f>A+#REF!*B</f>
        <v>#REF!</v>
      </c>
    </row>
    <row r="45" spans="5:55" ht="12.75">
      <c r="E45" s="98"/>
      <c r="Y45" s="106"/>
      <c r="Z45" s="106"/>
      <c r="AA45" s="106"/>
      <c r="AB45" s="106"/>
      <c r="AG45" s="48"/>
      <c r="AH45" s="48"/>
      <c r="AI45" s="48"/>
      <c r="AJ45" s="48"/>
      <c r="AK45" s="48"/>
      <c r="AL45" s="48"/>
      <c r="AM45" s="48"/>
      <c r="AN45" s="48"/>
      <c r="AO45" s="48"/>
      <c r="AP45" s="121"/>
      <c r="AQ45" s="121"/>
      <c r="AR45" s="121"/>
      <c r="AS45" s="48"/>
      <c r="AU45" s="91" t="e">
        <f>IF(#REF!="","",#REF!)</f>
        <v>#REF!</v>
      </c>
      <c r="AV45" s="92" t="e">
        <f>IF(#REF!&lt;&gt;"",#REF!,"")</f>
        <v>#REF!</v>
      </c>
      <c r="AW45" s="91" t="e">
        <f t="shared" si="8"/>
        <v>#REF!</v>
      </c>
      <c r="AX45" s="93" t="e">
        <f t="shared" si="9"/>
        <v>#REF!</v>
      </c>
      <c r="AY45" s="91" t="e">
        <f t="shared" si="10"/>
        <v>#REF!</v>
      </c>
      <c r="AZ45" s="94" t="e">
        <f t="shared" si="11"/>
        <v>#REF!</v>
      </c>
      <c r="BA45" s="94" t="e">
        <f t="shared" si="12"/>
        <v>#REF!</v>
      </c>
      <c r="BB45" s="94" t="e">
        <f t="shared" si="13"/>
        <v>#REF!</v>
      </c>
      <c r="BC45" s="95" t="e">
        <f>A+#REF!*B</f>
        <v>#REF!</v>
      </c>
    </row>
    <row r="46" spans="5:65" ht="12.75">
      <c r="E46" s="98"/>
      <c r="Y46" s="52"/>
      <c r="Z46" s="52"/>
      <c r="AA46" s="52"/>
      <c r="AB46" s="52"/>
      <c r="AG46" s="48"/>
      <c r="AH46" s="48"/>
      <c r="AI46" s="48"/>
      <c r="AJ46" s="48"/>
      <c r="AK46" s="48"/>
      <c r="AL46" s="48"/>
      <c r="AM46" s="48"/>
      <c r="AN46" s="48"/>
      <c r="AO46" s="48"/>
      <c r="AP46" s="121"/>
      <c r="AQ46" s="121"/>
      <c r="AR46" s="121"/>
      <c r="AS46" s="48"/>
      <c r="AU46" s="91" t="e">
        <f>IF(#REF!="","",#REF!)</f>
        <v>#REF!</v>
      </c>
      <c r="AV46" s="92" t="e">
        <f>IF(#REF!&lt;&gt;"",#REF!,"")</f>
        <v>#REF!</v>
      </c>
      <c r="AW46" s="91" t="e">
        <f t="shared" si="8"/>
        <v>#REF!</v>
      </c>
      <c r="AX46" s="93" t="e">
        <f t="shared" si="9"/>
        <v>#REF!</v>
      </c>
      <c r="AY46" s="91" t="e">
        <f t="shared" si="10"/>
        <v>#REF!</v>
      </c>
      <c r="AZ46" s="94" t="e">
        <f t="shared" si="11"/>
        <v>#REF!</v>
      </c>
      <c r="BA46" s="94" t="e">
        <f t="shared" si="12"/>
        <v>#REF!</v>
      </c>
      <c r="BB46" s="94" t="e">
        <f t="shared" si="13"/>
        <v>#REF!</v>
      </c>
      <c r="BC46" s="95" t="e">
        <f>A+#REF!*B</f>
        <v>#REF!</v>
      </c>
      <c r="BL46" s="118"/>
      <c r="BM46" s="118"/>
    </row>
    <row r="47" spans="5:65" ht="12.75">
      <c r="E47" s="98"/>
      <c r="Y47" s="52"/>
      <c r="Z47" s="52"/>
      <c r="AA47" s="52"/>
      <c r="AB47" s="52"/>
      <c r="AG47" s="48"/>
      <c r="AH47" s="48"/>
      <c r="AI47" s="48"/>
      <c r="AJ47" s="48"/>
      <c r="AK47" s="48"/>
      <c r="AL47" s="48"/>
      <c r="AM47" s="48"/>
      <c r="AN47" s="48"/>
      <c r="AO47" s="48"/>
      <c r="AP47" s="121"/>
      <c r="AQ47" s="121"/>
      <c r="AR47" s="121"/>
      <c r="AS47" s="48"/>
      <c r="AU47" s="91" t="e">
        <f>IF(#REF!="","",#REF!)</f>
        <v>#REF!</v>
      </c>
      <c r="AV47" s="92" t="e">
        <f>IF(#REF!&lt;&gt;"",#REF!,"")</f>
        <v>#REF!</v>
      </c>
      <c r="AW47" s="91" t="e">
        <f t="shared" si="8"/>
        <v>#REF!</v>
      </c>
      <c r="AX47" s="93" t="e">
        <f t="shared" si="9"/>
        <v>#REF!</v>
      </c>
      <c r="AY47" s="91" t="e">
        <f t="shared" si="10"/>
        <v>#REF!</v>
      </c>
      <c r="AZ47" s="94" t="e">
        <f t="shared" si="11"/>
        <v>#REF!</v>
      </c>
      <c r="BA47" s="94" t="e">
        <f t="shared" si="12"/>
        <v>#REF!</v>
      </c>
      <c r="BB47" s="94" t="e">
        <f t="shared" si="13"/>
        <v>#REF!</v>
      </c>
      <c r="BC47" s="95" t="e">
        <f>A+#REF!*B</f>
        <v>#REF!</v>
      </c>
      <c r="BL47" s="121"/>
      <c r="BM47" s="121"/>
    </row>
    <row r="48" spans="5:65" ht="12.75">
      <c r="E48" s="98"/>
      <c r="Y48" s="59"/>
      <c r="Z48" s="59"/>
      <c r="AA48" s="59"/>
      <c r="AB48" s="59"/>
      <c r="AG48" s="48"/>
      <c r="AH48" s="48"/>
      <c r="AI48" s="48"/>
      <c r="AJ48" s="48"/>
      <c r="AK48" s="48"/>
      <c r="AL48" s="48"/>
      <c r="AM48" s="48"/>
      <c r="AN48" s="48"/>
      <c r="AO48" s="48"/>
      <c r="AP48" s="121"/>
      <c r="AQ48" s="121"/>
      <c r="AR48" s="121"/>
      <c r="AS48" s="48"/>
      <c r="AU48" s="91">
        <f>IF(C24="","",B24)</f>
      </c>
      <c r="AV48" s="92">
        <f>IF(C24&lt;&gt;"",C24,"")</f>
      </c>
      <c r="AW48" s="91">
        <f t="shared" si="8"/>
      </c>
      <c r="AX48" s="93">
        <f t="shared" si="9"/>
      </c>
      <c r="AY48" s="91">
        <f t="shared" si="10"/>
      </c>
      <c r="AZ48" s="94">
        <f t="shared" si="11"/>
      </c>
      <c r="BA48" s="94">
        <f t="shared" si="12"/>
      </c>
      <c r="BB48" s="94">
        <f t="shared" si="13"/>
      </c>
      <c r="BC48" s="95" t="e">
        <f>A+B24*B</f>
        <v>#REF!</v>
      </c>
      <c r="BL48" s="121"/>
      <c r="BM48" s="121"/>
    </row>
    <row r="49" spans="5:55" ht="12.75">
      <c r="E49" s="98"/>
      <c r="Y49" s="59"/>
      <c r="Z49" s="59"/>
      <c r="AA49" s="59"/>
      <c r="AB49" s="59"/>
      <c r="AG49" s="48"/>
      <c r="AH49" s="48"/>
      <c r="AI49" s="48"/>
      <c r="AJ49" s="48"/>
      <c r="AK49" s="48"/>
      <c r="AL49" s="48"/>
      <c r="AM49" s="48"/>
      <c r="AN49" s="48"/>
      <c r="AO49" s="48"/>
      <c r="AP49" s="121"/>
      <c r="AQ49" s="121"/>
      <c r="AR49" s="121"/>
      <c r="AS49" s="48"/>
      <c r="AU49" s="91" t="e">
        <f>IF(#REF!="","",#REF!)</f>
        <v>#REF!</v>
      </c>
      <c r="AV49" s="92" t="e">
        <f>IF(#REF!&lt;&gt;"",#REF!,"")</f>
        <v>#REF!</v>
      </c>
      <c r="AW49" s="91" t="e">
        <f t="shared" si="8"/>
        <v>#REF!</v>
      </c>
      <c r="AX49" s="93" t="e">
        <f t="shared" si="9"/>
        <v>#REF!</v>
      </c>
      <c r="AY49" s="91" t="e">
        <f t="shared" si="10"/>
        <v>#REF!</v>
      </c>
      <c r="AZ49" s="94" t="e">
        <f t="shared" si="11"/>
        <v>#REF!</v>
      </c>
      <c r="BA49" s="94" t="e">
        <f t="shared" si="12"/>
        <v>#REF!</v>
      </c>
      <c r="BB49" s="94" t="e">
        <f t="shared" si="13"/>
        <v>#REF!</v>
      </c>
      <c r="BC49" s="95" t="e">
        <f>A+#REF!*B</f>
        <v>#REF!</v>
      </c>
    </row>
    <row r="50" spans="5:55" ht="12.75">
      <c r="E50" s="98"/>
      <c r="AG50" s="48"/>
      <c r="AH50" s="48"/>
      <c r="AI50" s="48"/>
      <c r="AJ50" s="48"/>
      <c r="AK50" s="48"/>
      <c r="AL50" s="48"/>
      <c r="AM50" s="48"/>
      <c r="AN50" s="48"/>
      <c r="AO50" s="48"/>
      <c r="AP50" s="121"/>
      <c r="AQ50" s="121"/>
      <c r="AR50" s="121"/>
      <c r="AS50" s="48"/>
      <c r="AU50" s="91" t="e">
        <f>IF(#REF!="","",#REF!)</f>
        <v>#REF!</v>
      </c>
      <c r="AV50" s="92" t="e">
        <f>IF(#REF!&lt;&gt;"",#REF!,"")</f>
        <v>#REF!</v>
      </c>
      <c r="AW50" s="91" t="e">
        <f t="shared" si="8"/>
        <v>#REF!</v>
      </c>
      <c r="AX50" s="93" t="e">
        <f t="shared" si="9"/>
        <v>#REF!</v>
      </c>
      <c r="AY50" s="91" t="e">
        <f t="shared" si="10"/>
        <v>#REF!</v>
      </c>
      <c r="AZ50" s="94" t="e">
        <f t="shared" si="11"/>
        <v>#REF!</v>
      </c>
      <c r="BA50" s="94" t="e">
        <f t="shared" si="12"/>
        <v>#REF!</v>
      </c>
      <c r="BB50" s="94" t="e">
        <f t="shared" si="13"/>
        <v>#REF!</v>
      </c>
      <c r="BC50" s="95" t="e">
        <f>A+#REF!*B</f>
        <v>#REF!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B7:B22 B6 B23 D7:D23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40"/>
  <sheetViews>
    <sheetView showGridLines="0" workbookViewId="0" topLeftCell="A1">
      <selection activeCell="A1" sqref="A1"/>
    </sheetView>
  </sheetViews>
  <sheetFormatPr defaultColWidth="9.140625" defaultRowHeight="12.75"/>
  <cols>
    <col min="6" max="6" width="10.140625" style="0" customWidth="1"/>
  </cols>
  <sheetData>
    <row r="2" ht="12.75">
      <c r="B2" s="161" t="s">
        <v>36</v>
      </c>
    </row>
    <row r="4" spans="2:4" ht="18" customHeight="1" thickBot="1">
      <c r="B4" s="33" t="s">
        <v>18</v>
      </c>
      <c r="C4" s="33" t="s">
        <v>26</v>
      </c>
      <c r="D4" s="33" t="s">
        <v>27</v>
      </c>
    </row>
    <row r="5" spans="2:4" ht="12.75">
      <c r="B5" s="167">
        <v>1</v>
      </c>
      <c r="C5" s="42">
        <v>700</v>
      </c>
      <c r="D5" s="42">
        <v>660</v>
      </c>
    </row>
    <row r="6" spans="2:4" ht="12.75">
      <c r="B6" s="167">
        <v>2</v>
      </c>
      <c r="C6" s="42">
        <v>760</v>
      </c>
      <c r="D6" s="42">
        <v>840</v>
      </c>
    </row>
    <row r="7" spans="2:4" ht="12.75">
      <c r="B7" s="167">
        <v>3</v>
      </c>
      <c r="C7" s="42">
        <v>780</v>
      </c>
      <c r="D7" s="42">
        <v>750</v>
      </c>
    </row>
    <row r="8" spans="2:4" ht="12.75">
      <c r="B8" s="167">
        <v>4</v>
      </c>
      <c r="C8" s="42">
        <v>790</v>
      </c>
      <c r="D8" s="42">
        <v>835</v>
      </c>
    </row>
    <row r="9" spans="2:4" ht="12.75">
      <c r="B9" s="167">
        <v>5</v>
      </c>
      <c r="C9" s="42">
        <v>850</v>
      </c>
      <c r="D9" s="42">
        <v>910</v>
      </c>
    </row>
    <row r="10" spans="2:4" ht="12.75">
      <c r="B10" s="167">
        <v>6</v>
      </c>
      <c r="C10" s="42">
        <v>950</v>
      </c>
      <c r="D10" s="42">
        <v>890</v>
      </c>
    </row>
    <row r="11" spans="2:4" ht="12.75">
      <c r="B11" s="167"/>
      <c r="C11" s="42"/>
      <c r="D11" s="42"/>
    </row>
    <row r="12" spans="2:4" ht="12.75">
      <c r="B12" s="167"/>
      <c r="C12" s="42"/>
      <c r="D12" s="42"/>
    </row>
    <row r="13" spans="2:4" ht="12.75">
      <c r="B13" s="167"/>
      <c r="C13" s="42"/>
      <c r="D13" s="42"/>
    </row>
    <row r="14" spans="2:4" ht="12.75">
      <c r="B14" s="167"/>
      <c r="C14" s="42"/>
      <c r="D14" s="42"/>
    </row>
    <row r="15" spans="2:4" ht="12.75">
      <c r="B15" s="167"/>
      <c r="C15" s="42"/>
      <c r="D15" s="42"/>
    </row>
    <row r="16" spans="2:4" ht="12.75">
      <c r="B16" s="167"/>
      <c r="C16" s="167"/>
      <c r="D16" s="167"/>
    </row>
    <row r="17" spans="2:4" ht="13.5" thickBot="1">
      <c r="B17" s="168"/>
      <c r="C17" s="168"/>
      <c r="D17" s="168"/>
    </row>
    <row r="20" ht="12.75">
      <c r="B20" s="35" t="s">
        <v>28</v>
      </c>
    </row>
    <row r="21" spans="2:10" s="37" customFormat="1" ht="37.5" customHeight="1" thickBot="1">
      <c r="B21" s="36"/>
      <c r="C21" s="36" t="s">
        <v>29</v>
      </c>
      <c r="D21" s="36" t="s">
        <v>30</v>
      </c>
      <c r="E21" s="36" t="s">
        <v>31</v>
      </c>
      <c r="F21" s="36" t="s">
        <v>32</v>
      </c>
      <c r="G21" s="36" t="s">
        <v>33</v>
      </c>
      <c r="H21" s="162" t="s">
        <v>37</v>
      </c>
      <c r="I21" s="162" t="s">
        <v>38</v>
      </c>
      <c r="J21" s="162" t="s">
        <v>39</v>
      </c>
    </row>
    <row r="22" spans="2:10" ht="12.75">
      <c r="B22">
        <f>IF(C5="","",B5)</f>
        <v>1</v>
      </c>
      <c r="C22">
        <f aca="true" t="shared" si="0" ref="C22:D35">IF(C5="","",C5)</f>
        <v>700</v>
      </c>
      <c r="D22">
        <f t="shared" si="0"/>
        <v>660</v>
      </c>
      <c r="E22" s="34">
        <f>IF(B5="","",C22-D22)</f>
        <v>40</v>
      </c>
      <c r="F22" s="34">
        <f>IF(B22="","",E22)</f>
        <v>40</v>
      </c>
      <c r="G22" s="38">
        <f>IF(B5="","",ABS(E22))</f>
        <v>40</v>
      </c>
      <c r="H22" s="2">
        <f>IF(C5="","",G22)</f>
        <v>40</v>
      </c>
      <c r="I22" s="44">
        <f>IF(C5="","",H22/B22)</f>
        <v>40</v>
      </c>
      <c r="J22" s="13">
        <f>IF(C5="","",F22/I22)</f>
        <v>1</v>
      </c>
    </row>
    <row r="23" spans="2:10" ht="12.75">
      <c r="B23">
        <f>IF(C6="","",B6)</f>
        <v>2</v>
      </c>
      <c r="C23">
        <f t="shared" si="0"/>
        <v>760</v>
      </c>
      <c r="D23">
        <f t="shared" si="0"/>
        <v>840</v>
      </c>
      <c r="E23" s="34">
        <f aca="true" t="shared" si="1" ref="E23:E34">IF(B6="","",C23-D23)</f>
        <v>-80</v>
      </c>
      <c r="F23" s="34">
        <f>IF(B23="","",E23+F22)</f>
        <v>-40</v>
      </c>
      <c r="G23" s="38">
        <f aca="true" t="shared" si="2" ref="G23:G34">IF(B6="","",ABS(E23))</f>
        <v>80</v>
      </c>
      <c r="H23" s="2">
        <f>IF(G23="","",H22+G23)</f>
        <v>120</v>
      </c>
      <c r="I23" s="44">
        <f aca="true" t="shared" si="3" ref="I23:I34">IF(C6="","",H23/B23)</f>
        <v>60</v>
      </c>
      <c r="J23" s="13">
        <f aca="true" t="shared" si="4" ref="J23:J34">IF(C6="","",F23/I23)</f>
        <v>-0.6666666666666666</v>
      </c>
    </row>
    <row r="24" spans="2:10" ht="12.75">
      <c r="B24">
        <f aca="true" t="shared" si="5" ref="B24:B34">IF(C7="","",B7)</f>
        <v>3</v>
      </c>
      <c r="C24">
        <f t="shared" si="0"/>
        <v>780</v>
      </c>
      <c r="D24">
        <f t="shared" si="0"/>
        <v>750</v>
      </c>
      <c r="E24" s="34">
        <f t="shared" si="1"/>
        <v>30</v>
      </c>
      <c r="F24" s="34">
        <f aca="true" t="shared" si="6" ref="F24:F34">IF(B24="","",E24+F23)</f>
        <v>-10</v>
      </c>
      <c r="G24" s="38">
        <f t="shared" si="2"/>
        <v>30</v>
      </c>
      <c r="H24" s="2">
        <f aca="true" t="shared" si="7" ref="H24:H34">IF(G24="","",H23+G24)</f>
        <v>150</v>
      </c>
      <c r="I24" s="44">
        <f t="shared" si="3"/>
        <v>50</v>
      </c>
      <c r="J24" s="13">
        <f t="shared" si="4"/>
        <v>-0.2</v>
      </c>
    </row>
    <row r="25" spans="2:10" ht="12.75">
      <c r="B25">
        <f t="shared" si="5"/>
        <v>4</v>
      </c>
      <c r="C25">
        <f t="shared" si="0"/>
        <v>790</v>
      </c>
      <c r="D25">
        <f t="shared" si="0"/>
        <v>835</v>
      </c>
      <c r="E25" s="34">
        <f t="shared" si="1"/>
        <v>-45</v>
      </c>
      <c r="F25" s="34">
        <f t="shared" si="6"/>
        <v>-55</v>
      </c>
      <c r="G25" s="38">
        <f t="shared" si="2"/>
        <v>45</v>
      </c>
      <c r="H25" s="2">
        <f t="shared" si="7"/>
        <v>195</v>
      </c>
      <c r="I25" s="44">
        <f t="shared" si="3"/>
        <v>48.75</v>
      </c>
      <c r="J25" s="13">
        <f t="shared" si="4"/>
        <v>-1.1282051282051282</v>
      </c>
    </row>
    <row r="26" spans="2:10" ht="12.75">
      <c r="B26">
        <f t="shared" si="5"/>
        <v>5</v>
      </c>
      <c r="C26">
        <f t="shared" si="0"/>
        <v>850</v>
      </c>
      <c r="D26">
        <f t="shared" si="0"/>
        <v>910</v>
      </c>
      <c r="E26" s="34">
        <f t="shared" si="1"/>
        <v>-60</v>
      </c>
      <c r="F26" s="34">
        <f t="shared" si="6"/>
        <v>-115</v>
      </c>
      <c r="G26" s="38">
        <f t="shared" si="2"/>
        <v>60</v>
      </c>
      <c r="H26" s="2">
        <f t="shared" si="7"/>
        <v>255</v>
      </c>
      <c r="I26" s="44">
        <f t="shared" si="3"/>
        <v>51</v>
      </c>
      <c r="J26" s="13">
        <f t="shared" si="4"/>
        <v>-2.2549019607843137</v>
      </c>
    </row>
    <row r="27" spans="2:10" ht="12.75">
      <c r="B27">
        <f t="shared" si="5"/>
        <v>6</v>
      </c>
      <c r="C27">
        <f t="shared" si="0"/>
        <v>950</v>
      </c>
      <c r="D27">
        <f t="shared" si="0"/>
        <v>890</v>
      </c>
      <c r="E27" s="34">
        <f t="shared" si="1"/>
        <v>60</v>
      </c>
      <c r="F27" s="34">
        <f t="shared" si="6"/>
        <v>-55</v>
      </c>
      <c r="G27" s="38">
        <f t="shared" si="2"/>
        <v>60</v>
      </c>
      <c r="H27" s="2">
        <f t="shared" si="7"/>
        <v>315</v>
      </c>
      <c r="I27" s="44">
        <f t="shared" si="3"/>
        <v>52.5</v>
      </c>
      <c r="J27" s="13">
        <f t="shared" si="4"/>
        <v>-1.0476190476190477</v>
      </c>
    </row>
    <row r="28" spans="2:10" ht="12.75">
      <c r="B28">
        <f t="shared" si="5"/>
      </c>
      <c r="C28">
        <f t="shared" si="0"/>
      </c>
      <c r="D28">
        <f t="shared" si="0"/>
      </c>
      <c r="E28" s="34">
        <f t="shared" si="1"/>
      </c>
      <c r="F28" s="34">
        <f t="shared" si="6"/>
      </c>
      <c r="G28" s="38">
        <f t="shared" si="2"/>
      </c>
      <c r="H28" s="2">
        <f t="shared" si="7"/>
      </c>
      <c r="I28" s="44">
        <f t="shared" si="3"/>
      </c>
      <c r="J28" s="13">
        <f t="shared" si="4"/>
      </c>
    </row>
    <row r="29" spans="2:10" ht="12.75">
      <c r="B29">
        <f t="shared" si="5"/>
      </c>
      <c r="C29">
        <f t="shared" si="0"/>
      </c>
      <c r="D29">
        <f t="shared" si="0"/>
      </c>
      <c r="E29" s="34">
        <f t="shared" si="1"/>
      </c>
      <c r="F29" s="34">
        <f>IF(B29="","",E29+F28)</f>
      </c>
      <c r="G29" s="38">
        <f t="shared" si="2"/>
      </c>
      <c r="H29" s="2">
        <f t="shared" si="7"/>
      </c>
      <c r="I29" s="44">
        <f t="shared" si="3"/>
      </c>
      <c r="J29" s="13">
        <f t="shared" si="4"/>
      </c>
    </row>
    <row r="30" spans="2:10" ht="12.75">
      <c r="B30">
        <f t="shared" si="5"/>
      </c>
      <c r="C30">
        <f t="shared" si="0"/>
      </c>
      <c r="D30">
        <f t="shared" si="0"/>
      </c>
      <c r="E30" s="34">
        <f t="shared" si="1"/>
      </c>
      <c r="F30" s="34">
        <f t="shared" si="6"/>
      </c>
      <c r="G30" s="38">
        <f t="shared" si="2"/>
      </c>
      <c r="H30" s="2">
        <f t="shared" si="7"/>
      </c>
      <c r="I30" s="44">
        <f t="shared" si="3"/>
      </c>
      <c r="J30" s="13">
        <f t="shared" si="4"/>
      </c>
    </row>
    <row r="31" spans="2:10" ht="12.75">
      <c r="B31">
        <f t="shared" si="5"/>
      </c>
      <c r="C31">
        <f t="shared" si="0"/>
      </c>
      <c r="D31">
        <f t="shared" si="0"/>
      </c>
      <c r="E31" s="34">
        <f t="shared" si="1"/>
      </c>
      <c r="F31" s="34">
        <f t="shared" si="6"/>
      </c>
      <c r="G31" s="38">
        <f t="shared" si="2"/>
      </c>
      <c r="H31" s="2">
        <f t="shared" si="7"/>
      </c>
      <c r="I31" s="44">
        <f t="shared" si="3"/>
      </c>
      <c r="J31" s="13">
        <f t="shared" si="4"/>
      </c>
    </row>
    <row r="32" spans="2:10" ht="12.75">
      <c r="B32">
        <f t="shared" si="5"/>
      </c>
      <c r="C32">
        <f t="shared" si="0"/>
      </c>
      <c r="D32">
        <f t="shared" si="0"/>
      </c>
      <c r="E32" s="34">
        <f t="shared" si="1"/>
      </c>
      <c r="F32" s="34">
        <f t="shared" si="6"/>
      </c>
      <c r="G32" s="38">
        <f t="shared" si="2"/>
      </c>
      <c r="H32" s="2">
        <f t="shared" si="7"/>
      </c>
      <c r="I32" s="44">
        <f t="shared" si="3"/>
      </c>
      <c r="J32" s="13">
        <f t="shared" si="4"/>
      </c>
    </row>
    <row r="33" spans="2:10" ht="12.75">
      <c r="B33">
        <f t="shared" si="5"/>
      </c>
      <c r="C33">
        <f t="shared" si="0"/>
      </c>
      <c r="D33">
        <f t="shared" si="0"/>
      </c>
      <c r="E33" s="34">
        <f t="shared" si="1"/>
      </c>
      <c r="F33" s="34">
        <f t="shared" si="6"/>
      </c>
      <c r="G33" s="38">
        <f t="shared" si="2"/>
      </c>
      <c r="H33" s="2">
        <f t="shared" si="7"/>
      </c>
      <c r="I33" s="44">
        <f t="shared" si="3"/>
      </c>
      <c r="J33" s="13">
        <f t="shared" si="4"/>
      </c>
    </row>
    <row r="34" spans="2:10" ht="13.5" thickBot="1">
      <c r="B34" s="39">
        <f t="shared" si="5"/>
      </c>
      <c r="C34" s="39">
        <f t="shared" si="0"/>
      </c>
      <c r="D34" s="39">
        <f t="shared" si="0"/>
      </c>
      <c r="E34" s="43">
        <f t="shared" si="1"/>
      </c>
      <c r="F34" s="43">
        <f t="shared" si="6"/>
      </c>
      <c r="G34" s="40">
        <f t="shared" si="2"/>
      </c>
      <c r="H34" s="45">
        <f t="shared" si="7"/>
      </c>
      <c r="I34" s="46">
        <f t="shared" si="3"/>
      </c>
      <c r="J34" s="47">
        <f t="shared" si="4"/>
      </c>
    </row>
    <row r="35" spans="2:7" ht="13.5" thickBot="1">
      <c r="B35">
        <f>IF(B18="","",B18)</f>
      </c>
      <c r="C35">
        <f t="shared" si="0"/>
      </c>
      <c r="D35">
        <f t="shared" si="0"/>
      </c>
      <c r="E35" s="34"/>
      <c r="F35" s="43">
        <f>SUM(E22:E34)</f>
        <v>-55</v>
      </c>
      <c r="G35" s="40">
        <f>SUM(G22:G34)</f>
        <v>315</v>
      </c>
    </row>
    <row r="38" spans="6:7" ht="12.75">
      <c r="F38" s="41" t="s">
        <v>34</v>
      </c>
      <c r="G38" t="str">
        <f>CONCATENATE(G35," / ",COUNT(G22:G34)," = ",FIXED(G35/COUNT(G22:G34),1))</f>
        <v>315 / 6 = 52.5</v>
      </c>
    </row>
    <row r="39" ht="12.75">
      <c r="F39" s="41"/>
    </row>
    <row r="40" spans="6:7" ht="12.75">
      <c r="F40" s="41" t="s">
        <v>35</v>
      </c>
      <c r="G40" t="str">
        <f>CONCATENATE(F35," / ",FIXED(G35/COUNT(G22:G34),1)," = ",FIXED(F35/(G35/COUNT(G22:G34)),1))</f>
        <v>-55 / 52.5 = -1.0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8.00390625" style="2" customWidth="1"/>
    <col min="3" max="3" width="10.7109375" style="2" bestFit="1" customWidth="1"/>
    <col min="4" max="4" width="12.28125" style="2" bestFit="1" customWidth="1"/>
    <col min="5" max="5" width="9.7109375" style="2" customWidth="1"/>
    <col min="6" max="6" width="15.28125" style="2" customWidth="1"/>
    <col min="7" max="7" width="11.00390625" style="2" customWidth="1"/>
    <col min="8" max="16384" width="9.140625" style="3" customWidth="1"/>
  </cols>
  <sheetData>
    <row r="2" ht="12.75">
      <c r="B2" s="1" t="s">
        <v>16</v>
      </c>
    </row>
    <row r="3" ht="12.75">
      <c r="B3" s="1"/>
    </row>
    <row r="4" ht="12.75">
      <c r="B4" s="1"/>
    </row>
    <row r="6" spans="2:7" ht="12.75"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</row>
    <row r="7" spans="2:7" ht="14.25">
      <c r="B7" s="17" t="s">
        <v>0</v>
      </c>
      <c r="C7" s="17" t="s">
        <v>1</v>
      </c>
      <c r="D7" s="17" t="s">
        <v>2</v>
      </c>
      <c r="E7" s="17" t="s">
        <v>14</v>
      </c>
      <c r="F7" s="17" t="s">
        <v>15</v>
      </c>
      <c r="G7" s="18" t="s">
        <v>9</v>
      </c>
    </row>
    <row r="8" spans="2:12" ht="13.5" customHeight="1" thickBot="1">
      <c r="B8" s="20" t="s">
        <v>18</v>
      </c>
      <c r="C8" s="21" t="s">
        <v>19</v>
      </c>
      <c r="D8" s="19"/>
      <c r="E8" s="19"/>
      <c r="F8" s="19"/>
      <c r="G8" s="19"/>
      <c r="I8" s="3" t="s">
        <v>20</v>
      </c>
      <c r="L8" s="3" t="s">
        <v>22</v>
      </c>
    </row>
    <row r="9" spans="2:12" ht="12.75">
      <c r="B9" s="15">
        <v>1</v>
      </c>
      <c r="C9" s="28">
        <v>568.99</v>
      </c>
      <c r="D9" s="4">
        <f>IF(B9="","",B9*C9)</f>
        <v>568.99</v>
      </c>
      <c r="E9" s="4">
        <f>IF(B9="","",B9^2)</f>
        <v>1</v>
      </c>
      <c r="F9" s="4">
        <f>IF(B9="","",C9^2)</f>
        <v>323749.6201</v>
      </c>
      <c r="G9" s="5">
        <f aca="true" t="shared" si="0" ref="G9:G20">IF(B9="","",$C$27+(B9*$C$26))</f>
        <v>540.2983333333334</v>
      </c>
      <c r="I9" s="3" t="s">
        <v>17</v>
      </c>
      <c r="L9" s="3" t="s">
        <v>17</v>
      </c>
    </row>
    <row r="10" spans="2:7" ht="12.75">
      <c r="B10" s="15">
        <v>2</v>
      </c>
      <c r="C10" s="28">
        <v>564.09</v>
      </c>
      <c r="D10" s="4">
        <f aca="true" t="shared" si="1" ref="D10:D20">IF(B10="","",B10*C10)</f>
        <v>1128.18</v>
      </c>
      <c r="E10" s="4">
        <f aca="true" t="shared" si="2" ref="E10:E20">IF(B10="","",B10^2)</f>
        <v>4</v>
      </c>
      <c r="F10" s="4">
        <f aca="true" t="shared" si="3" ref="F10:F20">IF(B10="","",C10^2)</f>
        <v>318197.52810000005</v>
      </c>
      <c r="G10" s="5">
        <f t="shared" si="0"/>
        <v>579.9198809523809</v>
      </c>
    </row>
    <row r="11" spans="2:12" ht="12.75">
      <c r="B11" s="15">
        <v>3</v>
      </c>
      <c r="C11" s="28">
        <v>578.92</v>
      </c>
      <c r="D11" s="4">
        <f t="shared" si="1"/>
        <v>1736.7599999999998</v>
      </c>
      <c r="E11" s="4">
        <f t="shared" si="2"/>
        <v>9</v>
      </c>
      <c r="F11" s="4">
        <f t="shared" si="3"/>
        <v>335148.36639999994</v>
      </c>
      <c r="G11" s="5">
        <f t="shared" si="0"/>
        <v>619.5414285714286</v>
      </c>
      <c r="I11" s="17" t="s">
        <v>0</v>
      </c>
      <c r="L11" s="3" t="s">
        <v>23</v>
      </c>
    </row>
    <row r="12" spans="2:13" ht="16.5" thickBot="1">
      <c r="B12" s="15">
        <v>4</v>
      </c>
      <c r="C12" s="28">
        <v>587.79</v>
      </c>
      <c r="D12" s="4">
        <f t="shared" si="1"/>
        <v>2351.16</v>
      </c>
      <c r="E12" s="4">
        <f t="shared" si="2"/>
        <v>16</v>
      </c>
      <c r="F12" s="4">
        <f t="shared" si="3"/>
        <v>345497.0841</v>
      </c>
      <c r="G12" s="5">
        <f t="shared" si="0"/>
        <v>659.1629761904762</v>
      </c>
      <c r="I12" s="20" t="s">
        <v>18</v>
      </c>
      <c r="J12" s="20" t="s">
        <v>21</v>
      </c>
      <c r="L12" s="20" t="s">
        <v>24</v>
      </c>
      <c r="M12" s="20" t="s">
        <v>25</v>
      </c>
    </row>
    <row r="13" spans="2:13" ht="12.75">
      <c r="B13" s="15">
        <v>5</v>
      </c>
      <c r="C13" s="28">
        <v>789.01</v>
      </c>
      <c r="D13" s="4">
        <f t="shared" si="1"/>
        <v>3945.05</v>
      </c>
      <c r="E13" s="4">
        <f t="shared" si="2"/>
        <v>25</v>
      </c>
      <c r="F13" s="4">
        <f t="shared" si="3"/>
        <v>622536.7801</v>
      </c>
      <c r="G13" s="5">
        <f t="shared" si="0"/>
        <v>698.7845238095238</v>
      </c>
      <c r="I13" s="22">
        <v>9</v>
      </c>
      <c r="J13" s="26">
        <f aca="true" t="shared" si="4" ref="J13:J20">IF(I13="","",$C$27+$C$26*I13)</f>
        <v>857.2707142857142</v>
      </c>
      <c r="L13" s="30">
        <v>0.527</v>
      </c>
      <c r="M13" s="24">
        <f>IF(L13="","",J13*L13)</f>
        <v>451.78166642857144</v>
      </c>
    </row>
    <row r="14" spans="2:13" ht="12.75">
      <c r="B14" s="15">
        <v>6</v>
      </c>
      <c r="C14" s="28">
        <v>793.91</v>
      </c>
      <c r="D14" s="4">
        <f t="shared" si="1"/>
        <v>4763.46</v>
      </c>
      <c r="E14" s="4">
        <f t="shared" si="2"/>
        <v>36</v>
      </c>
      <c r="F14" s="4">
        <f t="shared" si="3"/>
        <v>630293.0880999999</v>
      </c>
      <c r="G14" s="5">
        <f t="shared" si="0"/>
        <v>738.4060714285714</v>
      </c>
      <c r="I14" s="22">
        <v>10</v>
      </c>
      <c r="J14" s="26">
        <f t="shared" si="4"/>
        <v>896.8922619047619</v>
      </c>
      <c r="L14" s="30">
        <v>0.957</v>
      </c>
      <c r="M14" s="24">
        <f aca="true" t="shared" si="5" ref="M14:M20">IF(L14="","",J14*L14)</f>
        <v>858.3258946428571</v>
      </c>
    </row>
    <row r="15" spans="2:13" ht="12.75">
      <c r="B15" s="15">
        <v>7</v>
      </c>
      <c r="C15" s="28">
        <v>779.08</v>
      </c>
      <c r="D15" s="4">
        <f t="shared" si="1"/>
        <v>5453.56</v>
      </c>
      <c r="E15" s="4">
        <f t="shared" si="2"/>
        <v>49</v>
      </c>
      <c r="F15" s="4">
        <f t="shared" si="3"/>
        <v>606965.6464000001</v>
      </c>
      <c r="G15" s="5">
        <f t="shared" si="0"/>
        <v>778.027619047619</v>
      </c>
      <c r="I15" s="22">
        <v>11</v>
      </c>
      <c r="J15" s="26">
        <f t="shared" si="4"/>
        <v>936.5138095238094</v>
      </c>
      <c r="L15" s="30">
        <v>1.529</v>
      </c>
      <c r="M15" s="24">
        <f t="shared" si="5"/>
        <v>1431.9296147619045</v>
      </c>
    </row>
    <row r="16" spans="2:13" ht="12.75">
      <c r="B16" s="15">
        <v>8</v>
      </c>
      <c r="C16" s="28">
        <v>770</v>
      </c>
      <c r="D16" s="4">
        <f t="shared" si="1"/>
        <v>6160</v>
      </c>
      <c r="E16" s="4">
        <f t="shared" si="2"/>
        <v>64</v>
      </c>
      <c r="F16" s="4">
        <f t="shared" si="3"/>
        <v>592900</v>
      </c>
      <c r="G16" s="5">
        <f t="shared" si="0"/>
        <v>817.6491666666666</v>
      </c>
      <c r="I16" s="22">
        <v>12</v>
      </c>
      <c r="J16" s="26">
        <f t="shared" si="4"/>
        <v>976.1353571428571</v>
      </c>
      <c r="L16" s="30">
        <v>0.987</v>
      </c>
      <c r="M16" s="24">
        <f t="shared" si="5"/>
        <v>963.4455975</v>
      </c>
    </row>
    <row r="17" spans="2:13" ht="12.75">
      <c r="B17" s="15"/>
      <c r="C17" s="28"/>
      <c r="D17" s="4">
        <f t="shared" si="1"/>
      </c>
      <c r="E17" s="4">
        <f t="shared" si="2"/>
      </c>
      <c r="F17" s="4">
        <f t="shared" si="3"/>
      </c>
      <c r="G17" s="5">
        <f t="shared" si="0"/>
      </c>
      <c r="I17" s="22"/>
      <c r="J17" s="26">
        <f t="shared" si="4"/>
      </c>
      <c r="L17" s="30"/>
      <c r="M17" s="24">
        <f t="shared" si="5"/>
      </c>
    </row>
    <row r="18" spans="2:13" ht="12.75">
      <c r="B18" s="15"/>
      <c r="C18" s="28"/>
      <c r="D18" s="4">
        <f t="shared" si="1"/>
      </c>
      <c r="E18" s="4">
        <f t="shared" si="2"/>
      </c>
      <c r="F18" s="4">
        <f t="shared" si="3"/>
      </c>
      <c r="G18" s="5">
        <f t="shared" si="0"/>
      </c>
      <c r="I18" s="22"/>
      <c r="J18" s="26">
        <f t="shared" si="4"/>
      </c>
      <c r="L18" s="30"/>
      <c r="M18" s="24">
        <f t="shared" si="5"/>
      </c>
    </row>
    <row r="19" spans="2:13" ht="12.75">
      <c r="B19" s="15"/>
      <c r="C19" s="28"/>
      <c r="D19" s="4">
        <f t="shared" si="1"/>
      </c>
      <c r="E19" s="4">
        <f t="shared" si="2"/>
      </c>
      <c r="F19" s="4">
        <f t="shared" si="3"/>
      </c>
      <c r="G19" s="5">
        <f t="shared" si="0"/>
      </c>
      <c r="I19" s="22"/>
      <c r="J19" s="26">
        <f t="shared" si="4"/>
      </c>
      <c r="L19" s="30"/>
      <c r="M19" s="24">
        <f t="shared" si="5"/>
      </c>
    </row>
    <row r="20" spans="2:13" ht="13.5" thickBot="1">
      <c r="B20" s="16"/>
      <c r="C20" s="29"/>
      <c r="D20" s="6">
        <f t="shared" si="1"/>
      </c>
      <c r="E20" s="6">
        <f t="shared" si="2"/>
      </c>
      <c r="F20" s="6">
        <f t="shared" si="3"/>
      </c>
      <c r="G20" s="7">
        <f t="shared" si="0"/>
      </c>
      <c r="I20" s="23"/>
      <c r="J20" s="27">
        <f t="shared" si="4"/>
      </c>
      <c r="L20" s="31"/>
      <c r="M20" s="25">
        <f t="shared" si="5"/>
      </c>
    </row>
    <row r="21" spans="2:7" ht="8.25" customHeight="1">
      <c r="B21" s="8"/>
      <c r="C21" s="8"/>
      <c r="D21" s="8"/>
      <c r="E21" s="8"/>
      <c r="F21" s="8"/>
      <c r="G21" s="9"/>
    </row>
    <row r="22" spans="2:7" ht="12.75">
      <c r="B22" s="4">
        <f>SUM(B9:B20)</f>
        <v>36</v>
      </c>
      <c r="C22" s="4">
        <f>SUM(C9:C20)</f>
        <v>5431.79</v>
      </c>
      <c r="D22" s="4">
        <f>SUM(D9:D20)</f>
        <v>26107.16</v>
      </c>
      <c r="E22" s="4">
        <f>SUM(E9:E20)</f>
        <v>204</v>
      </c>
      <c r="F22" s="4">
        <f>SUM(F9:F20)</f>
        <v>3775288.1133</v>
      </c>
      <c r="G22" s="10"/>
    </row>
    <row r="24" spans="3:4" ht="12.75">
      <c r="C24" s="11">
        <f>B22/COUNT(C9:C20)</f>
        <v>4.5</v>
      </c>
      <c r="D24" s="12" t="s">
        <v>10</v>
      </c>
    </row>
    <row r="25" spans="3:6" ht="12.75">
      <c r="C25" s="11">
        <f>C22/COUNT(C9:C20)</f>
        <v>678.97375</v>
      </c>
      <c r="D25" s="12" t="s">
        <v>12</v>
      </c>
      <c r="E25" s="3"/>
      <c r="F25" s="3"/>
    </row>
    <row r="26" spans="3:6" ht="12.75">
      <c r="C26" s="11">
        <f>(D22-(COUNT(C9:C20)*C24*C25))/(E22-(COUNT(C9:C20)*C24^2))</f>
        <v>39.62154761904761</v>
      </c>
      <c r="D26" s="12" t="s">
        <v>11</v>
      </c>
      <c r="E26" s="13"/>
      <c r="F26" s="12"/>
    </row>
    <row r="27" spans="3:6" ht="12.75">
      <c r="C27" s="11">
        <f>C25-(C26*C24)</f>
        <v>500.67678571428576</v>
      </c>
      <c r="D27" s="12" t="s">
        <v>13</v>
      </c>
      <c r="E27" s="13"/>
      <c r="F27" s="12"/>
    </row>
    <row r="28" spans="3:6" ht="12.75">
      <c r="C28" s="11"/>
      <c r="D28" s="12"/>
      <c r="E28" s="13"/>
      <c r="F28" s="12"/>
    </row>
    <row r="30" ht="12.75">
      <c r="C30" s="166" t="str">
        <f>CONCATENATE("Regression Equation is Y = ",FIXED(C27,2),IF(C26&lt;0," - "," + "),FIXED(C26,1),"*X")</f>
        <v>Regression Equation is Y = 500.68 + 39.6*X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Owner</cp:lastModifiedBy>
  <dcterms:created xsi:type="dcterms:W3CDTF">2004-08-16T18:34:06Z</dcterms:created>
  <dcterms:modified xsi:type="dcterms:W3CDTF">2008-01-29T23:55:14Z</dcterms:modified>
  <cp:category/>
  <cp:version/>
  <cp:contentType/>
  <cp:contentStatus/>
</cp:coreProperties>
</file>