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8" yWindow="84" windowWidth="13104" windowHeight="7392" tabRatio="549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Sheet1!$A$37:$F$64</definedName>
  </definedNames>
  <calcPr calcId="125725"/>
</workbook>
</file>

<file path=xl/calcChain.xml><?xml version="1.0" encoding="utf-8"?>
<calcChain xmlns="http://schemas.openxmlformats.org/spreadsheetml/2006/main">
  <c r="E45" i="1"/>
  <c r="E41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E53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E49"/>
  <c r="S32" s="1"/>
  <c r="J28" l="1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H28"/>
  <c r="H27"/>
  <c r="K27" s="1"/>
  <c r="H26"/>
  <c r="H25"/>
  <c r="K25" s="1"/>
  <c r="H24"/>
  <c r="H23"/>
  <c r="K23" s="1"/>
  <c r="H22"/>
  <c r="H21"/>
  <c r="K21" s="1"/>
  <c r="H20"/>
  <c r="H19"/>
  <c r="K19" s="1"/>
  <c r="H18"/>
  <c r="H17"/>
  <c r="K17" s="1"/>
  <c r="H16"/>
  <c r="H15"/>
  <c r="K15" s="1"/>
  <c r="H14"/>
  <c r="H13"/>
  <c r="K13" s="1"/>
  <c r="H12"/>
  <c r="H11"/>
  <c r="K11" s="1"/>
  <c r="H10"/>
  <c r="H9"/>
  <c r="K9" s="1"/>
  <c r="H8"/>
  <c r="H7"/>
  <c r="K7" s="1"/>
  <c r="H6"/>
  <c r="H5"/>
  <c r="K5" s="1"/>
  <c r="H4"/>
  <c r="F7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E4"/>
  <c r="E12"/>
  <c r="E11"/>
  <c r="E10"/>
  <c r="E9"/>
  <c r="E8"/>
  <c r="E7"/>
  <c r="E6"/>
  <c r="E5"/>
  <c r="D28"/>
  <c r="G28" s="1"/>
  <c r="D27"/>
  <c r="G27" s="1"/>
  <c r="D26"/>
  <c r="G26" s="1"/>
  <c r="D25"/>
  <c r="G25" s="1"/>
  <c r="D24"/>
  <c r="G24" s="1"/>
  <c r="D23"/>
  <c r="G23" s="1"/>
  <c r="D22"/>
  <c r="D21"/>
  <c r="D20"/>
  <c r="D19"/>
  <c r="D18"/>
  <c r="D17"/>
  <c r="D16"/>
  <c r="D15"/>
  <c r="D14"/>
  <c r="D13"/>
  <c r="D12"/>
  <c r="D11"/>
  <c r="D10"/>
  <c r="D9"/>
  <c r="D8"/>
  <c r="D7"/>
  <c r="D6"/>
  <c r="G6" s="1"/>
  <c r="D5"/>
  <c r="G5" s="1"/>
  <c r="D4"/>
  <c r="G4" s="1"/>
  <c r="B4"/>
  <c r="B5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G7" l="1"/>
  <c r="K4"/>
  <c r="K6"/>
  <c r="K8"/>
  <c r="K10"/>
  <c r="K12"/>
  <c r="K14"/>
  <c r="K16"/>
  <c r="K18"/>
  <c r="K20"/>
  <c r="K22"/>
  <c r="K24"/>
  <c r="K26"/>
  <c r="K28"/>
  <c r="G8"/>
  <c r="G10"/>
  <c r="G12"/>
  <c r="G14"/>
  <c r="G16"/>
  <c r="G18"/>
  <c r="G20"/>
  <c r="G22"/>
  <c r="G9"/>
  <c r="G11"/>
  <c r="G13"/>
  <c r="G15"/>
  <c r="G17"/>
  <c r="G19"/>
  <c r="G21"/>
  <c r="B6"/>
  <c r="C5"/>
  <c r="L5" s="1"/>
  <c r="C4"/>
  <c r="L4" l="1"/>
  <c r="N4"/>
  <c r="B7"/>
  <c r="C6"/>
  <c r="L6" s="1"/>
  <c r="N5"/>
  <c r="R4" l="1"/>
  <c r="S4" s="1"/>
  <c r="P4"/>
  <c r="R5"/>
  <c r="S5" s="1"/>
  <c r="T5" s="1"/>
  <c r="P5"/>
  <c r="B8"/>
  <c r="C7"/>
  <c r="L7" s="1"/>
  <c r="N6"/>
  <c r="T4" l="1"/>
  <c r="R6"/>
  <c r="S6" s="1"/>
  <c r="T6" s="1"/>
  <c r="P6"/>
  <c r="B9"/>
  <c r="C8"/>
  <c r="L8" s="1"/>
  <c r="N7"/>
  <c r="R7" l="1"/>
  <c r="S7" s="1"/>
  <c r="P7"/>
  <c r="N8"/>
  <c r="B10"/>
  <c r="C9"/>
  <c r="L9" s="1"/>
  <c r="T7" l="1"/>
  <c r="R8"/>
  <c r="S8" s="1"/>
  <c r="T8" s="1"/>
  <c r="P8"/>
  <c r="N9"/>
  <c r="B11"/>
  <c r="C10"/>
  <c r="L10" s="1"/>
  <c r="R9" l="1"/>
  <c r="S9" s="1"/>
  <c r="P9"/>
  <c r="N10"/>
  <c r="B12"/>
  <c r="C11"/>
  <c r="L11" s="1"/>
  <c r="T9" l="1"/>
  <c r="R10"/>
  <c r="S10" s="1"/>
  <c r="T10" s="1"/>
  <c r="P10"/>
  <c r="N11"/>
  <c r="B13"/>
  <c r="C12"/>
  <c r="L12" s="1"/>
  <c r="R11" l="1"/>
  <c r="S11" s="1"/>
  <c r="P11"/>
  <c r="N12"/>
  <c r="B14"/>
  <c r="C13"/>
  <c r="L13" s="1"/>
  <c r="T11" l="1"/>
  <c r="R12"/>
  <c r="S12" s="1"/>
  <c r="T12" s="1"/>
  <c r="P12"/>
  <c r="N13"/>
  <c r="B15"/>
  <c r="C14"/>
  <c r="L14" s="1"/>
  <c r="R13" l="1"/>
  <c r="S13" s="1"/>
  <c r="P13"/>
  <c r="N14"/>
  <c r="B16"/>
  <c r="C15"/>
  <c r="L15" s="1"/>
  <c r="T13" l="1"/>
  <c r="R14"/>
  <c r="S14" s="1"/>
  <c r="T14" s="1"/>
  <c r="P14"/>
  <c r="B17"/>
  <c r="C16"/>
  <c r="L16" s="1"/>
  <c r="N15"/>
  <c r="R15" l="1"/>
  <c r="S15" s="1"/>
  <c r="T15" s="1"/>
  <c r="P15"/>
  <c r="N16"/>
  <c r="B18"/>
  <c r="C17"/>
  <c r="L17" s="1"/>
  <c r="R16" l="1"/>
  <c r="S16" s="1"/>
  <c r="T16" s="1"/>
  <c r="P16"/>
  <c r="N17"/>
  <c r="B19"/>
  <c r="C18"/>
  <c r="L18" s="1"/>
  <c r="R17" l="1"/>
  <c r="S17" s="1"/>
  <c r="T17" s="1"/>
  <c r="P17"/>
  <c r="N18"/>
  <c r="B20"/>
  <c r="C19"/>
  <c r="L19" s="1"/>
  <c r="R18" l="1"/>
  <c r="S18" s="1"/>
  <c r="T18" s="1"/>
  <c r="P18"/>
  <c r="N19"/>
  <c r="B21"/>
  <c r="C20"/>
  <c r="L20" s="1"/>
  <c r="R19" l="1"/>
  <c r="S19" s="1"/>
  <c r="T19" s="1"/>
  <c r="P19"/>
  <c r="N20"/>
  <c r="B22"/>
  <c r="C21"/>
  <c r="L21" s="1"/>
  <c r="R20" l="1"/>
  <c r="S20" s="1"/>
  <c r="T20" s="1"/>
  <c r="P20"/>
  <c r="N21"/>
  <c r="B23"/>
  <c r="C22"/>
  <c r="L22" s="1"/>
  <c r="R21" l="1"/>
  <c r="S21" s="1"/>
  <c r="T21" s="1"/>
  <c r="P21"/>
  <c r="N22"/>
  <c r="B24"/>
  <c r="C23"/>
  <c r="L23" s="1"/>
  <c r="R22" l="1"/>
  <c r="S22" s="1"/>
  <c r="T22" s="1"/>
  <c r="P22"/>
  <c r="N23"/>
  <c r="B25"/>
  <c r="C24"/>
  <c r="L24" s="1"/>
  <c r="R23" l="1"/>
  <c r="S23" s="1"/>
  <c r="T23" s="1"/>
  <c r="P23"/>
  <c r="N24"/>
  <c r="B26"/>
  <c r="C25"/>
  <c r="L25" s="1"/>
  <c r="R24" l="1"/>
  <c r="S24" s="1"/>
  <c r="T24" s="1"/>
  <c r="P24"/>
  <c r="N25"/>
  <c r="B27"/>
  <c r="C26"/>
  <c r="L26" s="1"/>
  <c r="R25" l="1"/>
  <c r="S25" s="1"/>
  <c r="T25" s="1"/>
  <c r="P25"/>
  <c r="N26"/>
  <c r="B28"/>
  <c r="C28" s="1"/>
  <c r="L28" s="1"/>
  <c r="C27"/>
  <c r="L27" s="1"/>
  <c r="R26" l="1"/>
  <c r="S26" s="1"/>
  <c r="T26" s="1"/>
  <c r="P26"/>
  <c r="N27"/>
  <c r="N28"/>
  <c r="R28" l="1"/>
  <c r="S28" s="1"/>
  <c r="P28"/>
  <c r="R27"/>
  <c r="S27" s="1"/>
  <c r="T27" s="1"/>
  <c r="P27"/>
  <c r="T28" l="1"/>
  <c r="S30"/>
  <c r="Q32" s="1"/>
  <c r="E51" l="1"/>
  <c r="S34"/>
</calcChain>
</file>

<file path=xl/sharedStrings.xml><?xml version="1.0" encoding="utf-8"?>
<sst xmlns="http://schemas.openxmlformats.org/spreadsheetml/2006/main" count="36" uniqueCount="34">
  <si>
    <t>Start of year</t>
  </si>
  <si>
    <t>Residential Demand, gpd</t>
  </si>
  <si>
    <t>Brewery, gpd</t>
  </si>
  <si>
    <t>Cannery, gpd</t>
  </si>
  <si>
    <t>Chip Plant, gpd</t>
  </si>
  <si>
    <t>Total Industrial Demand, gpd</t>
  </si>
  <si>
    <t>Apartments, gpd</t>
  </si>
  <si>
    <t>Motel, gpd</t>
  </si>
  <si>
    <t>Mason City Mall, gpd</t>
  </si>
  <si>
    <t>Commercial Demand, gpd</t>
  </si>
  <si>
    <t>Total Average Annual Daily Demand, gpd</t>
  </si>
  <si>
    <t>Add'l Peak Day Capacity, gpd</t>
  </si>
  <si>
    <t>Adjusted Demand, gpd</t>
  </si>
  <si>
    <t>Unbilled Water, gpd</t>
  </si>
  <si>
    <t>Plant Sizing Demand, gpd</t>
  </si>
  <si>
    <t>Monthly Water Sales, gal/mo</t>
  </si>
  <si>
    <t>Residential Houses</t>
  </si>
  <si>
    <t>Peaking factor</t>
  </si>
  <si>
    <t>Percent unbilled water</t>
  </si>
  <si>
    <t>Construction cost/gallon</t>
  </si>
  <si>
    <t>Plant Sizing Demand (roundedup), gpd</t>
  </si>
  <si>
    <t>Monthly Water Sales, $/mo</t>
  </si>
  <si>
    <t>Yearly Water Sales, $</t>
  </si>
  <si>
    <t xml:space="preserve">Amount of bond: </t>
  </si>
  <si>
    <t>gpd</t>
  </si>
  <si>
    <t>Plant cost:</t>
  </si>
  <si>
    <t>Monthly bond payment:</t>
  </si>
  <si>
    <t>Plant cost, per day</t>
  </si>
  <si>
    <t>Average Monthly Water Sales:</t>
  </si>
  <si>
    <t>Add'l rate:</t>
  </si>
  <si>
    <t>Final rate:</t>
  </si>
  <si>
    <t>/1000 gal</t>
  </si>
  <si>
    <t>Plant size (max plant sizing):</t>
  </si>
  <si>
    <t>Cost of abandon ground water wells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</si>
</sst>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164" formatCode="&quot;$&quot;#,##0"/>
    <numFmt numFmtId="165" formatCode="&quot;$&quot;#,##0.00"/>
  </numFmts>
  <fonts count="3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textRotation="90"/>
    </xf>
    <xf numFmtId="0" fontId="1" fillId="0" borderId="0" xfId="0" applyFont="1"/>
    <xf numFmtId="3" fontId="1" fillId="0" borderId="0" xfId="0" applyNumberFormat="1" applyFont="1"/>
    <xf numFmtId="3" fontId="2" fillId="0" borderId="0" xfId="0" applyNumberFormat="1" applyFont="1"/>
    <xf numFmtId="164" fontId="2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0" fontId="1" fillId="0" borderId="0" xfId="0" quotePrefix="1" applyFont="1"/>
    <xf numFmtId="10" fontId="1" fillId="0" borderId="0" xfId="0" applyNumberFormat="1" applyFont="1"/>
    <xf numFmtId="8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6555048217881771"/>
          <c:y val="3.4323123525465446E-2"/>
          <c:w val="0.68410977965135744"/>
          <c:h val="0.77474491708527382"/>
        </c:manualLayout>
      </c:layout>
      <c:barChart>
        <c:barDir val="col"/>
        <c:grouping val="clustered"/>
        <c:ser>
          <c:idx val="1"/>
          <c:order val="0"/>
          <c:tx>
            <c:v>Residential</c:v>
          </c:tx>
          <c:val>
            <c:numRef>
              <c:f>Sheet1!$C$4:$C$28</c:f>
              <c:numCache>
                <c:formatCode>#,##0</c:formatCode>
                <c:ptCount val="25"/>
                <c:pt idx="0">
                  <c:v>3079752.5</c:v>
                </c:pt>
                <c:pt idx="1">
                  <c:v>3135496.0202500001</c:v>
                </c:pt>
                <c:pt idx="2">
                  <c:v>3192248.4982165252</c:v>
                </c:pt>
                <c:pt idx="3">
                  <c:v>3250028.1960342443</c:v>
                </c:pt>
                <c:pt idx="4">
                  <c:v>3308853.7063824642</c:v>
                </c:pt>
                <c:pt idx="5">
                  <c:v>3368743.9584679869</c:v>
                </c:pt>
                <c:pt idx="6">
                  <c:v>3429718.2241162574</c:v>
                </c:pt>
                <c:pt idx="7">
                  <c:v>3491796.1239727619</c:v>
                </c:pt>
                <c:pt idx="8">
                  <c:v>3554997.6338166692</c:v>
                </c:pt>
                <c:pt idx="9">
                  <c:v>3619343.0909887506</c:v>
                </c:pt>
                <c:pt idx="10">
                  <c:v>3684853.2009356474</c:v>
                </c:pt>
                <c:pt idx="11">
                  <c:v>3751549.0438725827</c:v>
                </c:pt>
                <c:pt idx="12">
                  <c:v>3819452.0815666765</c:v>
                </c:pt>
                <c:pt idx="13">
                  <c:v>3888584.1642430332</c:v>
                </c:pt>
                <c:pt idx="14">
                  <c:v>3958967.5376158319</c:v>
                </c:pt>
                <c:pt idx="15">
                  <c:v>4030624.8500466784</c:v>
                </c:pt>
                <c:pt idx="16">
                  <c:v>4103579.1598325232</c:v>
                </c:pt>
                <c:pt idx="17">
                  <c:v>4177853.9426254923</c:v>
                </c:pt>
                <c:pt idx="18">
                  <c:v>4253473.098987014</c:v>
                </c:pt>
                <c:pt idx="19">
                  <c:v>4330460.9620786784</c:v>
                </c:pt>
                <c:pt idx="20">
                  <c:v>4408842.3054923024</c:v>
                </c:pt>
                <c:pt idx="21">
                  <c:v>4488642.3512217132</c:v>
                </c:pt>
                <c:pt idx="22">
                  <c:v>4569886.7777788267</c:v>
                </c:pt>
                <c:pt idx="23">
                  <c:v>4652601.7284566239</c:v>
                </c:pt>
                <c:pt idx="24">
                  <c:v>4736813.8197416877</c:v>
                </c:pt>
              </c:numCache>
            </c:numRef>
          </c:val>
        </c:ser>
        <c:ser>
          <c:idx val="2"/>
          <c:order val="1"/>
          <c:tx>
            <c:v>Industrial</c:v>
          </c:tx>
          <c:val>
            <c:numRef>
              <c:f>Sheet1!$G$4:$G$28</c:f>
              <c:numCache>
                <c:formatCode>#,##0</c:formatCode>
                <c:ptCount val="25"/>
                <c:pt idx="0">
                  <c:v>1001780.8219178083</c:v>
                </c:pt>
                <c:pt idx="1">
                  <c:v>1001780.8219178083</c:v>
                </c:pt>
                <c:pt idx="2">
                  <c:v>1001780.8219178083</c:v>
                </c:pt>
                <c:pt idx="3">
                  <c:v>2201780.8219178081</c:v>
                </c:pt>
                <c:pt idx="4">
                  <c:v>2069780.8219178081</c:v>
                </c:pt>
                <c:pt idx="5">
                  <c:v>1952300.8219178081</c:v>
                </c:pt>
                <c:pt idx="6">
                  <c:v>1847743.6219178084</c:v>
                </c:pt>
                <c:pt idx="7">
                  <c:v>1754687.7139178084</c:v>
                </c:pt>
                <c:pt idx="8">
                  <c:v>1671867.9557978082</c:v>
                </c:pt>
                <c:pt idx="9">
                  <c:v>686377.54915320012</c:v>
                </c:pt>
                <c:pt idx="10">
                  <c:v>620776.0187463481</c:v>
                </c:pt>
                <c:pt idx="11">
                  <c:v>562390.65668424987</c:v>
                </c:pt>
                <c:pt idx="12">
                  <c:v>510427.68444898236</c:v>
                </c:pt>
                <c:pt idx="13">
                  <c:v>464180.63915959431</c:v>
                </c:pt>
                <c:pt idx="14">
                  <c:v>423020.76885203895</c:v>
                </c:pt>
                <c:pt idx="15">
                  <c:v>386388.48427831469</c:v>
                </c:pt>
                <c:pt idx="16">
                  <c:v>353785.75100770005</c:v>
                </c:pt>
                <c:pt idx="17">
                  <c:v>324769.31839685305</c:v>
                </c:pt>
                <c:pt idx="18">
                  <c:v>298944.6933731992</c:v>
                </c:pt>
                <c:pt idx="19">
                  <c:v>90000</c:v>
                </c:pt>
                <c:pt idx="20">
                  <c:v>90000</c:v>
                </c:pt>
                <c:pt idx="21">
                  <c:v>90000</c:v>
                </c:pt>
                <c:pt idx="22">
                  <c:v>90000</c:v>
                </c:pt>
                <c:pt idx="23">
                  <c:v>90000</c:v>
                </c:pt>
                <c:pt idx="24">
                  <c:v>90000</c:v>
                </c:pt>
              </c:numCache>
            </c:numRef>
          </c:val>
        </c:ser>
        <c:ser>
          <c:idx val="3"/>
          <c:order val="2"/>
          <c:tx>
            <c:v>Commercial</c:v>
          </c:tx>
          <c:val>
            <c:numRef>
              <c:f>Sheet1!$K$4:$K$28</c:f>
              <c:numCache>
                <c:formatCode>#,##0</c:formatCode>
                <c:ptCount val="25"/>
                <c:pt idx="0">
                  <c:v>56220</c:v>
                </c:pt>
                <c:pt idx="1">
                  <c:v>68720</c:v>
                </c:pt>
                <c:pt idx="2">
                  <c:v>81220</c:v>
                </c:pt>
                <c:pt idx="3">
                  <c:v>81220</c:v>
                </c:pt>
                <c:pt idx="4">
                  <c:v>321220</c:v>
                </c:pt>
                <c:pt idx="5">
                  <c:v>321220</c:v>
                </c:pt>
                <c:pt idx="6">
                  <c:v>321220</c:v>
                </c:pt>
                <c:pt idx="7">
                  <c:v>508720</c:v>
                </c:pt>
                <c:pt idx="8">
                  <c:v>508720</c:v>
                </c:pt>
                <c:pt idx="9">
                  <c:v>538720</c:v>
                </c:pt>
                <c:pt idx="10">
                  <c:v>538720</c:v>
                </c:pt>
                <c:pt idx="11">
                  <c:v>538720</c:v>
                </c:pt>
                <c:pt idx="12">
                  <c:v>538720</c:v>
                </c:pt>
                <c:pt idx="13">
                  <c:v>538720</c:v>
                </c:pt>
                <c:pt idx="14">
                  <c:v>538720</c:v>
                </c:pt>
                <c:pt idx="15">
                  <c:v>538720</c:v>
                </c:pt>
                <c:pt idx="16">
                  <c:v>538720</c:v>
                </c:pt>
                <c:pt idx="17">
                  <c:v>538720</c:v>
                </c:pt>
                <c:pt idx="18">
                  <c:v>538720</c:v>
                </c:pt>
                <c:pt idx="19">
                  <c:v>538720</c:v>
                </c:pt>
                <c:pt idx="20">
                  <c:v>538720</c:v>
                </c:pt>
                <c:pt idx="21">
                  <c:v>538720</c:v>
                </c:pt>
                <c:pt idx="22">
                  <c:v>538720</c:v>
                </c:pt>
                <c:pt idx="23">
                  <c:v>538720</c:v>
                </c:pt>
                <c:pt idx="24">
                  <c:v>538720</c:v>
                </c:pt>
              </c:numCache>
            </c:numRef>
          </c:val>
        </c:ser>
        <c:ser>
          <c:idx val="4"/>
          <c:order val="3"/>
          <c:tx>
            <c:v>Peaking factor</c:v>
          </c:tx>
          <c:val>
            <c:numRef>
              <c:f>Sheet1!$M$4:$M$28</c:f>
              <c:numCache>
                <c:formatCode>#,##0</c:formatCode>
                <c:ptCount val="25"/>
                <c:pt idx="0">
                  <c:v>1779233.9284246576</c:v>
                </c:pt>
                <c:pt idx="1">
                  <c:v>1808578.6421321572</c:v>
                </c:pt>
                <c:pt idx="2">
                  <c:v>1838357.2076577633</c:v>
                </c:pt>
                <c:pt idx="3">
                  <c:v>2379202.4777193828</c:v>
                </c:pt>
                <c:pt idx="4">
                  <c:v>2450937.4471691172</c:v>
                </c:pt>
                <c:pt idx="5">
                  <c:v>2426173.8555658916</c:v>
                </c:pt>
                <c:pt idx="6">
                  <c:v>2407433.1937946482</c:v>
                </c:pt>
                <c:pt idx="7">
                  <c:v>2474737.6502929451</c:v>
                </c:pt>
                <c:pt idx="8">
                  <c:v>2466301.8035342251</c:v>
                </c:pt>
                <c:pt idx="9">
                  <c:v>2083109.4752610389</c:v>
                </c:pt>
                <c:pt idx="10">
                  <c:v>2083070.1644632579</c:v>
                </c:pt>
                <c:pt idx="11">
                  <c:v>2086643.671239438</c:v>
                </c:pt>
                <c:pt idx="12">
                  <c:v>2093497.8993867333</c:v>
                </c:pt>
                <c:pt idx="13">
                  <c:v>2103338.4654631298</c:v>
                </c:pt>
                <c:pt idx="14">
                  <c:v>2115904.5717811845</c:v>
                </c:pt>
                <c:pt idx="15">
                  <c:v>2130965.333759747</c:v>
                </c:pt>
                <c:pt idx="16">
                  <c:v>2148316.5116612962</c:v>
                </c:pt>
                <c:pt idx="17">
                  <c:v>2167777.6022396083</c:v>
                </c:pt>
                <c:pt idx="18">
                  <c:v>2189189.2507148916</c:v>
                </c:pt>
                <c:pt idx="19">
                  <c:v>2132447.8136938317</c:v>
                </c:pt>
                <c:pt idx="20">
                  <c:v>2166151.79136169</c:v>
                </c:pt>
                <c:pt idx="21">
                  <c:v>2200465.8110253369</c:v>
                </c:pt>
                <c:pt idx="22">
                  <c:v>2235400.9144448955</c:v>
                </c:pt>
                <c:pt idx="23">
                  <c:v>2270968.3432363481</c:v>
                </c:pt>
                <c:pt idx="24">
                  <c:v>2307179.5424889256</c:v>
                </c:pt>
              </c:numCache>
            </c:numRef>
          </c:val>
        </c:ser>
        <c:ser>
          <c:idx val="5"/>
          <c:order val="4"/>
          <c:tx>
            <c:v>Unbilled water</c:v>
          </c:tx>
          <c:val>
            <c:numRef>
              <c:f>Sheet1!$O$4:$O$28</c:f>
              <c:numCache>
                <c:formatCode>#,##0</c:formatCode>
                <c:ptCount val="25"/>
                <c:pt idx="0">
                  <c:v>1082808.6668126713</c:v>
                </c:pt>
                <c:pt idx="1">
                  <c:v>1100667.3136268936</c:v>
                </c:pt>
                <c:pt idx="2">
                  <c:v>1118789.9945859537</c:v>
                </c:pt>
                <c:pt idx="3">
                  <c:v>1447938.3637078728</c:v>
                </c:pt>
                <c:pt idx="4">
                  <c:v>1491594.9315108983</c:v>
                </c:pt>
                <c:pt idx="5">
                  <c:v>1476524.2703791587</c:v>
                </c:pt>
                <c:pt idx="6">
                  <c:v>1465119.0522886547</c:v>
                </c:pt>
                <c:pt idx="7">
                  <c:v>1506079.2923375831</c:v>
                </c:pt>
                <c:pt idx="8">
                  <c:v>1500945.3929462123</c:v>
                </c:pt>
                <c:pt idx="9">
                  <c:v>1267741.6711187472</c:v>
                </c:pt>
                <c:pt idx="10">
                  <c:v>1267717.7472985811</c:v>
                </c:pt>
                <c:pt idx="11">
                  <c:v>1269892.5170387176</c:v>
                </c:pt>
                <c:pt idx="12">
                  <c:v>1274063.8727686377</c:v>
                </c:pt>
                <c:pt idx="13">
                  <c:v>1280052.6582024337</c:v>
                </c:pt>
                <c:pt idx="14">
                  <c:v>1287700.1567195773</c:v>
                </c:pt>
                <c:pt idx="15">
                  <c:v>1296865.8562595076</c:v>
                </c:pt>
                <c:pt idx="16">
                  <c:v>1307425.4603177779</c:v>
                </c:pt>
                <c:pt idx="17">
                  <c:v>1319269.1179769374</c:v>
                </c:pt>
                <c:pt idx="18">
                  <c:v>1332299.8488827443</c:v>
                </c:pt>
                <c:pt idx="19">
                  <c:v>1297768.0659663694</c:v>
                </c:pt>
                <c:pt idx="20">
                  <c:v>1318279.6797242805</c:v>
                </c:pt>
                <c:pt idx="21">
                  <c:v>1339162.5536912102</c:v>
                </c:pt>
                <c:pt idx="22">
                  <c:v>1360423.407676941</c:v>
                </c:pt>
                <c:pt idx="23">
                  <c:v>1382069.0831198138</c:v>
                </c:pt>
                <c:pt idx="24">
                  <c:v>1404106.5452882024</c:v>
                </c:pt>
              </c:numCache>
            </c:numRef>
          </c:val>
        </c:ser>
        <c:ser>
          <c:idx val="0"/>
          <c:order val="5"/>
          <c:tx>
            <c:v>Plant sizing</c:v>
          </c:tx>
          <c:cat>
            <c:numRef>
              <c:f>Sheet1!$A$4:$A$28</c:f>
              <c:numCache>
                <c:formatCode>General</c:formatCode>
                <c:ptCount val="2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  <c:pt idx="19">
                  <c:v>2030</c:v>
                </c:pt>
                <c:pt idx="20">
                  <c:v>2031</c:v>
                </c:pt>
                <c:pt idx="21">
                  <c:v>2032</c:v>
                </c:pt>
                <c:pt idx="22">
                  <c:v>2033</c:v>
                </c:pt>
                <c:pt idx="23">
                  <c:v>2034</c:v>
                </c:pt>
                <c:pt idx="24">
                  <c:v>2035</c:v>
                </c:pt>
              </c:numCache>
            </c:numRef>
          </c:cat>
          <c:val>
            <c:numRef>
              <c:f>Sheet1!$Q$4:$Q$28</c:f>
              <c:numCache>
                <c:formatCode>#,##0</c:formatCode>
                <c:ptCount val="25"/>
                <c:pt idx="0">
                  <c:v>7000000</c:v>
                </c:pt>
                <c:pt idx="1">
                  <c:v>7200000</c:v>
                </c:pt>
                <c:pt idx="2">
                  <c:v>7300000</c:v>
                </c:pt>
                <c:pt idx="3">
                  <c:v>9400000</c:v>
                </c:pt>
                <c:pt idx="4">
                  <c:v>9700000</c:v>
                </c:pt>
                <c:pt idx="5">
                  <c:v>9600000</c:v>
                </c:pt>
                <c:pt idx="6">
                  <c:v>9500000</c:v>
                </c:pt>
                <c:pt idx="7">
                  <c:v>9800000</c:v>
                </c:pt>
                <c:pt idx="8">
                  <c:v>9800000</c:v>
                </c:pt>
                <c:pt idx="9">
                  <c:v>8200000</c:v>
                </c:pt>
                <c:pt idx="10">
                  <c:v>8200000</c:v>
                </c:pt>
                <c:pt idx="11">
                  <c:v>8300000</c:v>
                </c:pt>
                <c:pt idx="12">
                  <c:v>8300000</c:v>
                </c:pt>
                <c:pt idx="13">
                  <c:v>8300000</c:v>
                </c:pt>
                <c:pt idx="14">
                  <c:v>8400000</c:v>
                </c:pt>
                <c:pt idx="15">
                  <c:v>8400000</c:v>
                </c:pt>
                <c:pt idx="16">
                  <c:v>8500000</c:v>
                </c:pt>
                <c:pt idx="17">
                  <c:v>8600000</c:v>
                </c:pt>
                <c:pt idx="18">
                  <c:v>8700000</c:v>
                </c:pt>
                <c:pt idx="19">
                  <c:v>8400000</c:v>
                </c:pt>
                <c:pt idx="20">
                  <c:v>8600000</c:v>
                </c:pt>
                <c:pt idx="21">
                  <c:v>8700000</c:v>
                </c:pt>
                <c:pt idx="22">
                  <c:v>8800000</c:v>
                </c:pt>
                <c:pt idx="23">
                  <c:v>9000000</c:v>
                </c:pt>
                <c:pt idx="24">
                  <c:v>9100000</c:v>
                </c:pt>
              </c:numCache>
            </c:numRef>
          </c:val>
        </c:ser>
        <c:axId val="166848000"/>
        <c:axId val="166900096"/>
      </c:barChart>
      <c:catAx>
        <c:axId val="1668480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166900096"/>
        <c:crosses val="autoZero"/>
        <c:auto val="1"/>
        <c:lblAlgn val="ctr"/>
        <c:lblOffset val="100"/>
      </c:catAx>
      <c:valAx>
        <c:axId val="166900096"/>
        <c:scaling>
          <c:orientation val="minMax"/>
          <c:max val="100000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Demand, gpd</a:t>
                </a:r>
              </a:p>
            </c:rich>
          </c:tx>
          <c:layout/>
        </c:title>
        <c:numFmt formatCode="#,##0" sourceLinked="1"/>
        <c:tickLblPos val="nextTo"/>
        <c:crossAx val="166848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346467030082562"/>
          <c:y val="0.33229156422617301"/>
          <c:w val="0.14653532969917471"/>
          <c:h val="0.33541687154765454"/>
        </c:manualLayout>
      </c:layout>
    </c:legend>
    <c:plotVisOnly val="1"/>
  </c:chart>
  <c:printSettings>
    <c:headerFooter>
      <c:oddHeader>&amp;C&amp;"-,Bold"&amp;20&amp;UCommunity Water Demand</c:oddHeader>
    </c:headerFooter>
    <c:pageMargins b="0.75000000000000033" l="0.70000000000000029" r="0.70000000000000029" t="0.75000000000000033" header="0.30000000000000016" footer="0.30000000000000016"/>
    <c:pageSetup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6555048217881771"/>
          <c:y val="3.4323123525465446E-2"/>
          <c:w val="0.68410977965135744"/>
          <c:h val="0.77474491708527427"/>
        </c:manualLayout>
      </c:layout>
      <c:barChart>
        <c:barDir val="col"/>
        <c:grouping val="percentStacked"/>
        <c:ser>
          <c:idx val="1"/>
          <c:order val="0"/>
          <c:tx>
            <c:v>Residential</c:v>
          </c:tx>
          <c:val>
            <c:numRef>
              <c:f>Sheet1!$C$4:$C$28</c:f>
              <c:numCache>
                <c:formatCode>#,##0</c:formatCode>
                <c:ptCount val="25"/>
                <c:pt idx="0">
                  <c:v>3079752.5</c:v>
                </c:pt>
                <c:pt idx="1">
                  <c:v>3135496.0202500001</c:v>
                </c:pt>
                <c:pt idx="2">
                  <c:v>3192248.4982165252</c:v>
                </c:pt>
                <c:pt idx="3">
                  <c:v>3250028.1960342443</c:v>
                </c:pt>
                <c:pt idx="4">
                  <c:v>3308853.7063824642</c:v>
                </c:pt>
                <c:pt idx="5">
                  <c:v>3368743.9584679869</c:v>
                </c:pt>
                <c:pt idx="6">
                  <c:v>3429718.2241162574</c:v>
                </c:pt>
                <c:pt idx="7">
                  <c:v>3491796.1239727619</c:v>
                </c:pt>
                <c:pt idx="8">
                  <c:v>3554997.6338166692</c:v>
                </c:pt>
                <c:pt idx="9">
                  <c:v>3619343.0909887506</c:v>
                </c:pt>
                <c:pt idx="10">
                  <c:v>3684853.2009356474</c:v>
                </c:pt>
                <c:pt idx="11">
                  <c:v>3751549.0438725827</c:v>
                </c:pt>
                <c:pt idx="12">
                  <c:v>3819452.0815666765</c:v>
                </c:pt>
                <c:pt idx="13">
                  <c:v>3888584.1642430332</c:v>
                </c:pt>
                <c:pt idx="14">
                  <c:v>3958967.5376158319</c:v>
                </c:pt>
                <c:pt idx="15">
                  <c:v>4030624.8500466784</c:v>
                </c:pt>
                <c:pt idx="16">
                  <c:v>4103579.1598325232</c:v>
                </c:pt>
                <c:pt idx="17">
                  <c:v>4177853.9426254923</c:v>
                </c:pt>
                <c:pt idx="18">
                  <c:v>4253473.098987014</c:v>
                </c:pt>
                <c:pt idx="19">
                  <c:v>4330460.9620786784</c:v>
                </c:pt>
                <c:pt idx="20">
                  <c:v>4408842.3054923024</c:v>
                </c:pt>
                <c:pt idx="21">
                  <c:v>4488642.3512217132</c:v>
                </c:pt>
                <c:pt idx="22">
                  <c:v>4569886.7777788267</c:v>
                </c:pt>
                <c:pt idx="23">
                  <c:v>4652601.7284566239</c:v>
                </c:pt>
                <c:pt idx="24">
                  <c:v>4736813.8197416877</c:v>
                </c:pt>
              </c:numCache>
            </c:numRef>
          </c:val>
        </c:ser>
        <c:ser>
          <c:idx val="2"/>
          <c:order val="1"/>
          <c:tx>
            <c:v>Industrial</c:v>
          </c:tx>
          <c:val>
            <c:numRef>
              <c:f>Sheet1!$G$4:$G$28</c:f>
              <c:numCache>
                <c:formatCode>#,##0</c:formatCode>
                <c:ptCount val="25"/>
                <c:pt idx="0">
                  <c:v>1001780.8219178083</c:v>
                </c:pt>
                <c:pt idx="1">
                  <c:v>1001780.8219178083</c:v>
                </c:pt>
                <c:pt idx="2">
                  <c:v>1001780.8219178083</c:v>
                </c:pt>
                <c:pt idx="3">
                  <c:v>2201780.8219178081</c:v>
                </c:pt>
                <c:pt idx="4">
                  <c:v>2069780.8219178081</c:v>
                </c:pt>
                <c:pt idx="5">
                  <c:v>1952300.8219178081</c:v>
                </c:pt>
                <c:pt idx="6">
                  <c:v>1847743.6219178084</c:v>
                </c:pt>
                <c:pt idx="7">
                  <c:v>1754687.7139178084</c:v>
                </c:pt>
                <c:pt idx="8">
                  <c:v>1671867.9557978082</c:v>
                </c:pt>
                <c:pt idx="9">
                  <c:v>686377.54915320012</c:v>
                </c:pt>
                <c:pt idx="10">
                  <c:v>620776.0187463481</c:v>
                </c:pt>
                <c:pt idx="11">
                  <c:v>562390.65668424987</c:v>
                </c:pt>
                <c:pt idx="12">
                  <c:v>510427.68444898236</c:v>
                </c:pt>
                <c:pt idx="13">
                  <c:v>464180.63915959431</c:v>
                </c:pt>
                <c:pt idx="14">
                  <c:v>423020.76885203895</c:v>
                </c:pt>
                <c:pt idx="15">
                  <c:v>386388.48427831469</c:v>
                </c:pt>
                <c:pt idx="16">
                  <c:v>353785.75100770005</c:v>
                </c:pt>
                <c:pt idx="17">
                  <c:v>324769.31839685305</c:v>
                </c:pt>
                <c:pt idx="18">
                  <c:v>298944.6933731992</c:v>
                </c:pt>
                <c:pt idx="19">
                  <c:v>90000</c:v>
                </c:pt>
                <c:pt idx="20">
                  <c:v>90000</c:v>
                </c:pt>
                <c:pt idx="21">
                  <c:v>90000</c:v>
                </c:pt>
                <c:pt idx="22">
                  <c:v>90000</c:v>
                </c:pt>
                <c:pt idx="23">
                  <c:v>90000</c:v>
                </c:pt>
                <c:pt idx="24">
                  <c:v>90000</c:v>
                </c:pt>
              </c:numCache>
            </c:numRef>
          </c:val>
        </c:ser>
        <c:ser>
          <c:idx val="3"/>
          <c:order val="2"/>
          <c:tx>
            <c:v>Commercial</c:v>
          </c:tx>
          <c:val>
            <c:numRef>
              <c:f>Sheet1!$K$4:$K$28</c:f>
              <c:numCache>
                <c:formatCode>#,##0</c:formatCode>
                <c:ptCount val="25"/>
                <c:pt idx="0">
                  <c:v>56220</c:v>
                </c:pt>
                <c:pt idx="1">
                  <c:v>68720</c:v>
                </c:pt>
                <c:pt idx="2">
                  <c:v>81220</c:v>
                </c:pt>
                <c:pt idx="3">
                  <c:v>81220</c:v>
                </c:pt>
                <c:pt idx="4">
                  <c:v>321220</c:v>
                </c:pt>
                <c:pt idx="5">
                  <c:v>321220</c:v>
                </c:pt>
                <c:pt idx="6">
                  <c:v>321220</c:v>
                </c:pt>
                <c:pt idx="7">
                  <c:v>508720</c:v>
                </c:pt>
                <c:pt idx="8">
                  <c:v>508720</c:v>
                </c:pt>
                <c:pt idx="9">
                  <c:v>538720</c:v>
                </c:pt>
                <c:pt idx="10">
                  <c:v>538720</c:v>
                </c:pt>
                <c:pt idx="11">
                  <c:v>538720</c:v>
                </c:pt>
                <c:pt idx="12">
                  <c:v>538720</c:v>
                </c:pt>
                <c:pt idx="13">
                  <c:v>538720</c:v>
                </c:pt>
                <c:pt idx="14">
                  <c:v>538720</c:v>
                </c:pt>
                <c:pt idx="15">
                  <c:v>538720</c:v>
                </c:pt>
                <c:pt idx="16">
                  <c:v>538720</c:v>
                </c:pt>
                <c:pt idx="17">
                  <c:v>538720</c:v>
                </c:pt>
                <c:pt idx="18">
                  <c:v>538720</c:v>
                </c:pt>
                <c:pt idx="19">
                  <c:v>538720</c:v>
                </c:pt>
                <c:pt idx="20">
                  <c:v>538720</c:v>
                </c:pt>
                <c:pt idx="21">
                  <c:v>538720</c:v>
                </c:pt>
                <c:pt idx="22">
                  <c:v>538720</c:v>
                </c:pt>
                <c:pt idx="23">
                  <c:v>538720</c:v>
                </c:pt>
                <c:pt idx="24">
                  <c:v>538720</c:v>
                </c:pt>
              </c:numCache>
            </c:numRef>
          </c:val>
        </c:ser>
        <c:ser>
          <c:idx val="4"/>
          <c:order val="3"/>
          <c:tx>
            <c:v>Peaking factor</c:v>
          </c:tx>
          <c:val>
            <c:numRef>
              <c:f>Sheet1!$M$4:$M$28</c:f>
              <c:numCache>
                <c:formatCode>#,##0</c:formatCode>
                <c:ptCount val="25"/>
                <c:pt idx="0">
                  <c:v>1779233.9284246576</c:v>
                </c:pt>
                <c:pt idx="1">
                  <c:v>1808578.6421321572</c:v>
                </c:pt>
                <c:pt idx="2">
                  <c:v>1838357.2076577633</c:v>
                </c:pt>
                <c:pt idx="3">
                  <c:v>2379202.4777193828</c:v>
                </c:pt>
                <c:pt idx="4">
                  <c:v>2450937.4471691172</c:v>
                </c:pt>
                <c:pt idx="5">
                  <c:v>2426173.8555658916</c:v>
                </c:pt>
                <c:pt idx="6">
                  <c:v>2407433.1937946482</c:v>
                </c:pt>
                <c:pt idx="7">
                  <c:v>2474737.6502929451</c:v>
                </c:pt>
                <c:pt idx="8">
                  <c:v>2466301.8035342251</c:v>
                </c:pt>
                <c:pt idx="9">
                  <c:v>2083109.4752610389</c:v>
                </c:pt>
                <c:pt idx="10">
                  <c:v>2083070.1644632579</c:v>
                </c:pt>
                <c:pt idx="11">
                  <c:v>2086643.671239438</c:v>
                </c:pt>
                <c:pt idx="12">
                  <c:v>2093497.8993867333</c:v>
                </c:pt>
                <c:pt idx="13">
                  <c:v>2103338.4654631298</c:v>
                </c:pt>
                <c:pt idx="14">
                  <c:v>2115904.5717811845</c:v>
                </c:pt>
                <c:pt idx="15">
                  <c:v>2130965.333759747</c:v>
                </c:pt>
                <c:pt idx="16">
                  <c:v>2148316.5116612962</c:v>
                </c:pt>
                <c:pt idx="17">
                  <c:v>2167777.6022396083</c:v>
                </c:pt>
                <c:pt idx="18">
                  <c:v>2189189.2507148916</c:v>
                </c:pt>
                <c:pt idx="19">
                  <c:v>2132447.8136938317</c:v>
                </c:pt>
                <c:pt idx="20">
                  <c:v>2166151.79136169</c:v>
                </c:pt>
                <c:pt idx="21">
                  <c:v>2200465.8110253369</c:v>
                </c:pt>
                <c:pt idx="22">
                  <c:v>2235400.9144448955</c:v>
                </c:pt>
                <c:pt idx="23">
                  <c:v>2270968.3432363481</c:v>
                </c:pt>
                <c:pt idx="24">
                  <c:v>2307179.5424889256</c:v>
                </c:pt>
              </c:numCache>
            </c:numRef>
          </c:val>
        </c:ser>
        <c:ser>
          <c:idx val="5"/>
          <c:order val="4"/>
          <c:tx>
            <c:v>Unbilled water</c:v>
          </c:tx>
          <c:val>
            <c:numRef>
              <c:f>Sheet1!$O$4:$O$28</c:f>
              <c:numCache>
                <c:formatCode>#,##0</c:formatCode>
                <c:ptCount val="25"/>
                <c:pt idx="0">
                  <c:v>1082808.6668126713</c:v>
                </c:pt>
                <c:pt idx="1">
                  <c:v>1100667.3136268936</c:v>
                </c:pt>
                <c:pt idx="2">
                  <c:v>1118789.9945859537</c:v>
                </c:pt>
                <c:pt idx="3">
                  <c:v>1447938.3637078728</c:v>
                </c:pt>
                <c:pt idx="4">
                  <c:v>1491594.9315108983</c:v>
                </c:pt>
                <c:pt idx="5">
                  <c:v>1476524.2703791587</c:v>
                </c:pt>
                <c:pt idx="6">
                  <c:v>1465119.0522886547</c:v>
                </c:pt>
                <c:pt idx="7">
                  <c:v>1506079.2923375831</c:v>
                </c:pt>
                <c:pt idx="8">
                  <c:v>1500945.3929462123</c:v>
                </c:pt>
                <c:pt idx="9">
                  <c:v>1267741.6711187472</c:v>
                </c:pt>
                <c:pt idx="10">
                  <c:v>1267717.7472985811</c:v>
                </c:pt>
                <c:pt idx="11">
                  <c:v>1269892.5170387176</c:v>
                </c:pt>
                <c:pt idx="12">
                  <c:v>1274063.8727686377</c:v>
                </c:pt>
                <c:pt idx="13">
                  <c:v>1280052.6582024337</c:v>
                </c:pt>
                <c:pt idx="14">
                  <c:v>1287700.1567195773</c:v>
                </c:pt>
                <c:pt idx="15">
                  <c:v>1296865.8562595076</c:v>
                </c:pt>
                <c:pt idx="16">
                  <c:v>1307425.4603177779</c:v>
                </c:pt>
                <c:pt idx="17">
                  <c:v>1319269.1179769374</c:v>
                </c:pt>
                <c:pt idx="18">
                  <c:v>1332299.8488827443</c:v>
                </c:pt>
                <c:pt idx="19">
                  <c:v>1297768.0659663694</c:v>
                </c:pt>
                <c:pt idx="20">
                  <c:v>1318279.6797242805</c:v>
                </c:pt>
                <c:pt idx="21">
                  <c:v>1339162.5536912102</c:v>
                </c:pt>
                <c:pt idx="22">
                  <c:v>1360423.407676941</c:v>
                </c:pt>
                <c:pt idx="23">
                  <c:v>1382069.0831198138</c:v>
                </c:pt>
                <c:pt idx="24">
                  <c:v>1404106.5452882024</c:v>
                </c:pt>
              </c:numCache>
            </c:numRef>
          </c:val>
        </c:ser>
        <c:ser>
          <c:idx val="0"/>
          <c:order val="5"/>
          <c:tx>
            <c:v>Plant sizing</c:v>
          </c:tx>
          <c:cat>
            <c:numRef>
              <c:f>Sheet1!$A$4:$A$28</c:f>
              <c:numCache>
                <c:formatCode>General</c:formatCode>
                <c:ptCount val="2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  <c:pt idx="19">
                  <c:v>2030</c:v>
                </c:pt>
                <c:pt idx="20">
                  <c:v>2031</c:v>
                </c:pt>
                <c:pt idx="21">
                  <c:v>2032</c:v>
                </c:pt>
                <c:pt idx="22">
                  <c:v>2033</c:v>
                </c:pt>
                <c:pt idx="23">
                  <c:v>2034</c:v>
                </c:pt>
                <c:pt idx="24">
                  <c:v>2035</c:v>
                </c:pt>
              </c:numCache>
            </c:numRef>
          </c:cat>
          <c:val>
            <c:numRef>
              <c:f>Sheet1!$Q$4:$Q$28</c:f>
              <c:numCache>
                <c:formatCode>#,##0</c:formatCode>
                <c:ptCount val="25"/>
                <c:pt idx="0">
                  <c:v>7000000</c:v>
                </c:pt>
                <c:pt idx="1">
                  <c:v>7200000</c:v>
                </c:pt>
                <c:pt idx="2">
                  <c:v>7300000</c:v>
                </c:pt>
                <c:pt idx="3">
                  <c:v>9400000</c:v>
                </c:pt>
                <c:pt idx="4">
                  <c:v>9700000</c:v>
                </c:pt>
                <c:pt idx="5">
                  <c:v>9600000</c:v>
                </c:pt>
                <c:pt idx="6">
                  <c:v>9500000</c:v>
                </c:pt>
                <c:pt idx="7">
                  <c:v>9800000</c:v>
                </c:pt>
                <c:pt idx="8">
                  <c:v>9800000</c:v>
                </c:pt>
                <c:pt idx="9">
                  <c:v>8200000</c:v>
                </c:pt>
                <c:pt idx="10">
                  <c:v>8200000</c:v>
                </c:pt>
                <c:pt idx="11">
                  <c:v>8300000</c:v>
                </c:pt>
                <c:pt idx="12">
                  <c:v>8300000</c:v>
                </c:pt>
                <c:pt idx="13">
                  <c:v>8300000</c:v>
                </c:pt>
                <c:pt idx="14">
                  <c:v>8400000</c:v>
                </c:pt>
                <c:pt idx="15">
                  <c:v>8400000</c:v>
                </c:pt>
                <c:pt idx="16">
                  <c:v>8500000</c:v>
                </c:pt>
                <c:pt idx="17">
                  <c:v>8600000</c:v>
                </c:pt>
                <c:pt idx="18">
                  <c:v>8700000</c:v>
                </c:pt>
                <c:pt idx="19">
                  <c:v>8400000</c:v>
                </c:pt>
                <c:pt idx="20">
                  <c:v>8600000</c:v>
                </c:pt>
                <c:pt idx="21">
                  <c:v>8700000</c:v>
                </c:pt>
                <c:pt idx="22">
                  <c:v>8800000</c:v>
                </c:pt>
                <c:pt idx="23">
                  <c:v>9000000</c:v>
                </c:pt>
                <c:pt idx="24">
                  <c:v>9100000</c:v>
                </c:pt>
              </c:numCache>
            </c:numRef>
          </c:val>
        </c:ser>
        <c:overlap val="100"/>
        <c:axId val="82059648"/>
        <c:axId val="82061568"/>
      </c:barChart>
      <c:catAx>
        <c:axId val="820596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</c:title>
        <c:numFmt formatCode="General" sourceLinked="1"/>
        <c:tickLblPos val="nextTo"/>
        <c:crossAx val="82061568"/>
        <c:crosses val="autoZero"/>
        <c:auto val="1"/>
        <c:lblAlgn val="ctr"/>
        <c:lblOffset val="100"/>
      </c:catAx>
      <c:valAx>
        <c:axId val="8206156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Demand</a:t>
                </a:r>
              </a:p>
            </c:rich>
          </c:tx>
        </c:title>
        <c:numFmt formatCode="0%" sourceLinked="1"/>
        <c:tickLblPos val="nextTo"/>
        <c:crossAx val="82059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346467030082562"/>
          <c:y val="0.33229156422617301"/>
          <c:w val="0.14653532969917471"/>
          <c:h val="0.33541687154765454"/>
        </c:manualLayout>
      </c:layout>
    </c:legend>
    <c:plotVisOnly val="1"/>
  </c:chart>
  <c:printSettings>
    <c:headerFooter>
      <c:oddHeader>&amp;C&amp;"-,Bold"&amp;20&amp;UCommunity Water Demand</c:oddHeader>
    </c:headerFooter>
    <c:pageMargins b="0.75000000000000056" l="0.70000000000000051" r="0.70000000000000051" t="0.75000000000000056" header="0.30000000000000027" footer="0.30000000000000027"/>
    <c:pageSetup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94129</xdr:colOff>
      <xdr:row>22</xdr:row>
      <xdr:rowOff>154641</xdr:rowOff>
    </xdr:from>
    <xdr:to>
      <xdr:col>31</xdr:col>
      <xdr:colOff>316006</xdr:colOff>
      <xdr:row>40</xdr:row>
      <xdr:rowOff>147917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0</xdr:colOff>
      <xdr:row>44</xdr:row>
      <xdr:rowOff>0</xdr:rowOff>
    </xdr:from>
    <xdr:to>
      <xdr:col>32</xdr:col>
      <xdr:colOff>221877</xdr:colOff>
      <xdr:row>63</xdr:row>
      <xdr:rowOff>221876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U63"/>
  <sheetViews>
    <sheetView tabSelected="1" topLeftCell="G7" zoomScale="64" zoomScaleNormal="64" workbookViewId="0">
      <selection activeCell="AD15" sqref="AD15"/>
    </sheetView>
  </sheetViews>
  <sheetFormatPr defaultColWidth="8.77734375" defaultRowHeight="18"/>
  <cols>
    <col min="1" max="1" width="6.21875" style="2" customWidth="1"/>
    <col min="2" max="2" width="7.77734375" style="2" customWidth="1"/>
    <col min="3" max="3" width="10.6640625" style="2" customWidth="1"/>
    <col min="4" max="4" width="11.5546875" style="2" customWidth="1"/>
    <col min="5" max="5" width="14" style="2" customWidth="1"/>
    <col min="6" max="6" width="10.33203125" style="2" customWidth="1"/>
    <col min="7" max="7" width="11.5546875" style="2" customWidth="1"/>
    <col min="8" max="11" width="8.77734375" style="2"/>
    <col min="12" max="12" width="14.5546875" style="2" customWidth="1"/>
    <col min="13" max="13" width="11.5546875" style="2" customWidth="1"/>
    <col min="14" max="14" width="11.44140625" style="2" customWidth="1"/>
    <col min="15" max="15" width="11" style="2" customWidth="1"/>
    <col min="16" max="16" width="13.6640625" style="2" customWidth="1"/>
    <col min="17" max="17" width="13.21875" style="2" customWidth="1"/>
    <col min="18" max="18" width="13.109375" style="2" customWidth="1"/>
    <col min="19" max="19" width="10.77734375" style="2" customWidth="1"/>
    <col min="20" max="20" width="12.21875" style="2" bestFit="1" customWidth="1"/>
    <col min="21" max="21" width="16.44140625" style="2" customWidth="1"/>
    <col min="22" max="16384" width="8.77734375" style="2"/>
  </cols>
  <sheetData>
    <row r="3" spans="1:21" ht="238.8">
      <c r="A3" s="1" t="s">
        <v>0</v>
      </c>
      <c r="B3" s="1" t="s">
        <v>16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1" t="s">
        <v>20</v>
      </c>
      <c r="R3" s="1" t="s">
        <v>15</v>
      </c>
      <c r="S3" s="1" t="s">
        <v>21</v>
      </c>
      <c r="T3" s="1" t="s">
        <v>22</v>
      </c>
      <c r="U3" s="1" t="s">
        <v>27</v>
      </c>
    </row>
    <row r="4" spans="1:21">
      <c r="A4" s="2">
        <v>2011</v>
      </c>
      <c r="B4" s="3">
        <f>11000*1.0181</f>
        <v>11199.1</v>
      </c>
      <c r="C4" s="3">
        <f>2.75*100*B4</f>
        <v>3079752.5</v>
      </c>
      <c r="D4" s="3">
        <f>62.5*60*24</f>
        <v>90000</v>
      </c>
      <c r="E4" s="3">
        <f t="shared" ref="E4:E12" si="0">80000*8*2*5*52/365</f>
        <v>911780.82191780827</v>
      </c>
      <c r="G4" s="3">
        <f>SUM(D4:F4)</f>
        <v>1001780.8219178083</v>
      </c>
      <c r="H4" s="3">
        <f>300*125</f>
        <v>37500</v>
      </c>
      <c r="I4" s="3">
        <f>200*0.72*130</f>
        <v>18720</v>
      </c>
      <c r="K4" s="3">
        <f>SUM(H4:J4)</f>
        <v>56220</v>
      </c>
      <c r="L4" s="3">
        <f>C4+G4+K4</f>
        <v>4137753.3219178081</v>
      </c>
      <c r="M4" s="3">
        <f>L4*E59</f>
        <v>1779233.9284246576</v>
      </c>
      <c r="N4" s="4">
        <f>SUM(L4:M4)</f>
        <v>5916987.2503424659</v>
      </c>
      <c r="O4" s="3">
        <f>N4*E61</f>
        <v>1082808.6668126713</v>
      </c>
      <c r="P4" s="3">
        <f>SUM(N4:O4)</f>
        <v>6999795.9171551373</v>
      </c>
      <c r="Q4" s="3">
        <v>7000000</v>
      </c>
      <c r="R4" s="3">
        <f>N4*30</f>
        <v>177509617.51027399</v>
      </c>
      <c r="S4" s="5">
        <f>R4*T31/1000</f>
        <v>276915.00331602746</v>
      </c>
      <c r="T4" s="6">
        <f>S4*12</f>
        <v>3322980.0397923295</v>
      </c>
      <c r="U4" s="6">
        <f>Q4*1.83</f>
        <v>12810000</v>
      </c>
    </row>
    <row r="5" spans="1:21">
      <c r="A5" s="2">
        <f>A4+1</f>
        <v>2012</v>
      </c>
      <c r="B5" s="3">
        <f>B4*1.0181</f>
        <v>11401.80371</v>
      </c>
      <c r="C5" s="3">
        <f t="shared" ref="C5:C28" si="1">2.75*100*B5</f>
        <v>3135496.0202500001</v>
      </c>
      <c r="D5" s="3">
        <f t="shared" ref="D5:D28" si="2">62.5*60*24</f>
        <v>90000</v>
      </c>
      <c r="E5" s="3">
        <f t="shared" si="0"/>
        <v>911780.82191780827</v>
      </c>
      <c r="G5" s="3">
        <f t="shared" ref="G5:G28" si="3">SUM(D5:F5)</f>
        <v>1001780.8219178083</v>
      </c>
      <c r="H5" s="3">
        <f>400*125</f>
        <v>50000</v>
      </c>
      <c r="I5" s="3">
        <f t="shared" ref="I5:I28" si="4">200*0.72*130</f>
        <v>18720</v>
      </c>
      <c r="K5" s="3">
        <f t="shared" ref="K5:K28" si="5">SUM(H5:J5)</f>
        <v>68720</v>
      </c>
      <c r="L5" s="3">
        <f t="shared" ref="L5:L28" si="6">C5+G5+K5</f>
        <v>4205996.8421678077</v>
      </c>
      <c r="M5" s="3">
        <f>L5*E59</f>
        <v>1808578.6421321572</v>
      </c>
      <c r="N5" s="4">
        <f t="shared" ref="N5:N28" si="7">SUM(L5:M5)</f>
        <v>6014575.4842999652</v>
      </c>
      <c r="O5" s="3">
        <f>N5*E61</f>
        <v>1100667.3136268936</v>
      </c>
      <c r="P5" s="3">
        <f t="shared" ref="P5:P28" si="8">SUM(N5:O5)</f>
        <v>7115242.797926859</v>
      </c>
      <c r="Q5" s="3">
        <v>7200000</v>
      </c>
      <c r="R5" s="3">
        <f t="shared" ref="R5:R28" si="9">N5*30</f>
        <v>180437264.52899897</v>
      </c>
      <c r="S5" s="5">
        <f>R5*T31/1000</f>
        <v>281482.1326652384</v>
      </c>
      <c r="T5" s="6">
        <f t="shared" ref="T5:T28" si="10">S5*12</f>
        <v>3377785.591982861</v>
      </c>
      <c r="U5" s="6">
        <f t="shared" ref="U5:U28" si="11">Q5*1.83</f>
        <v>13176000</v>
      </c>
    </row>
    <row r="6" spans="1:21">
      <c r="A6" s="2">
        <f t="shared" ref="A6:A27" si="12">A5+1</f>
        <v>2013</v>
      </c>
      <c r="B6" s="3">
        <f t="shared" ref="B6:B28" si="13">B5*1.0181</f>
        <v>11608.176357151</v>
      </c>
      <c r="C6" s="3">
        <f t="shared" si="1"/>
        <v>3192248.4982165252</v>
      </c>
      <c r="D6" s="3">
        <f t="shared" si="2"/>
        <v>90000</v>
      </c>
      <c r="E6" s="3">
        <f t="shared" si="0"/>
        <v>911780.82191780827</v>
      </c>
      <c r="G6" s="3">
        <f t="shared" si="3"/>
        <v>1001780.8219178083</v>
      </c>
      <c r="H6" s="3">
        <f>500*125</f>
        <v>62500</v>
      </c>
      <c r="I6" s="3">
        <f t="shared" si="4"/>
        <v>18720</v>
      </c>
      <c r="K6" s="3">
        <f t="shared" si="5"/>
        <v>81220</v>
      </c>
      <c r="L6" s="3">
        <f t="shared" si="6"/>
        <v>4275249.3201343333</v>
      </c>
      <c r="M6" s="3">
        <f>L6*E59</f>
        <v>1838357.2076577633</v>
      </c>
      <c r="N6" s="4">
        <f t="shared" si="7"/>
        <v>6113606.5277920961</v>
      </c>
      <c r="O6" s="3">
        <f>N6*E61</f>
        <v>1118789.9945859537</v>
      </c>
      <c r="P6" s="3">
        <f t="shared" si="8"/>
        <v>7232396.5223780498</v>
      </c>
      <c r="Q6" s="3">
        <v>7300000</v>
      </c>
      <c r="R6" s="3">
        <f t="shared" si="9"/>
        <v>183408195.83376288</v>
      </c>
      <c r="S6" s="5">
        <f>R6*T31/1000</f>
        <v>286116.78550067014</v>
      </c>
      <c r="T6" s="6">
        <f t="shared" si="10"/>
        <v>3433401.4260080419</v>
      </c>
      <c r="U6" s="6">
        <f t="shared" si="11"/>
        <v>13359000</v>
      </c>
    </row>
    <row r="7" spans="1:21">
      <c r="A7" s="2">
        <f t="shared" si="12"/>
        <v>2014</v>
      </c>
      <c r="B7" s="3">
        <f t="shared" si="13"/>
        <v>11818.284349215433</v>
      </c>
      <c r="C7" s="3">
        <f t="shared" si="1"/>
        <v>3250028.1960342443</v>
      </c>
      <c r="D7" s="3">
        <f t="shared" si="2"/>
        <v>90000</v>
      </c>
      <c r="E7" s="3">
        <f t="shared" si="0"/>
        <v>911780.82191780827</v>
      </c>
      <c r="F7" s="3">
        <f>1200000</f>
        <v>1200000</v>
      </c>
      <c r="G7" s="3">
        <f t="shared" si="3"/>
        <v>2201780.8219178081</v>
      </c>
      <c r="H7" s="3">
        <f t="shared" ref="H7:H28" si="14">500*125</f>
        <v>62500</v>
      </c>
      <c r="I7" s="3">
        <f t="shared" si="4"/>
        <v>18720</v>
      </c>
      <c r="K7" s="3">
        <f t="shared" si="5"/>
        <v>81220</v>
      </c>
      <c r="L7" s="3">
        <f t="shared" si="6"/>
        <v>5533029.0179520529</v>
      </c>
      <c r="M7" s="3">
        <f>L7*E59</f>
        <v>2379202.4777193828</v>
      </c>
      <c r="N7" s="4">
        <f t="shared" si="7"/>
        <v>7912231.4956714362</v>
      </c>
      <c r="O7" s="3">
        <f>N7*E61</f>
        <v>1447938.3637078728</v>
      </c>
      <c r="P7" s="3">
        <f t="shared" si="8"/>
        <v>9360169.8593793083</v>
      </c>
      <c r="Q7" s="3">
        <v>9400000</v>
      </c>
      <c r="R7" s="3">
        <f t="shared" si="9"/>
        <v>237366944.87014309</v>
      </c>
      <c r="S7" s="5">
        <f>R7*T31/1000</f>
        <v>370292.43399742321</v>
      </c>
      <c r="T7" s="6">
        <f t="shared" si="10"/>
        <v>4443509.2079690788</v>
      </c>
      <c r="U7" s="6">
        <f t="shared" si="11"/>
        <v>17202000</v>
      </c>
    </row>
    <row r="8" spans="1:21">
      <c r="A8" s="2">
        <f t="shared" si="12"/>
        <v>2015</v>
      </c>
      <c r="B8" s="3">
        <f t="shared" si="13"/>
        <v>12032.195295936233</v>
      </c>
      <c r="C8" s="3">
        <f t="shared" si="1"/>
        <v>3308853.7063824642</v>
      </c>
      <c r="D8" s="3">
        <f t="shared" si="2"/>
        <v>90000</v>
      </c>
      <c r="E8" s="3">
        <f t="shared" si="0"/>
        <v>911780.82191780827</v>
      </c>
      <c r="F8" s="3">
        <f>F7*(1-0.11)</f>
        <v>1068000</v>
      </c>
      <c r="G8" s="3">
        <f t="shared" si="3"/>
        <v>2069780.8219178081</v>
      </c>
      <c r="H8" s="3">
        <f t="shared" si="14"/>
        <v>62500</v>
      </c>
      <c r="I8" s="3">
        <f t="shared" si="4"/>
        <v>18720</v>
      </c>
      <c r="J8" s="3">
        <f>800000*300/1000</f>
        <v>240000</v>
      </c>
      <c r="K8" s="3">
        <f t="shared" si="5"/>
        <v>321220</v>
      </c>
      <c r="L8" s="3">
        <f t="shared" si="6"/>
        <v>5699854.5283002723</v>
      </c>
      <c r="M8" s="3">
        <f>L8*E59</f>
        <v>2450937.4471691172</v>
      </c>
      <c r="N8" s="4">
        <f t="shared" si="7"/>
        <v>8150791.9754693899</v>
      </c>
      <c r="O8" s="3">
        <f>N8*E61</f>
        <v>1491594.9315108983</v>
      </c>
      <c r="P8" s="3">
        <f t="shared" si="8"/>
        <v>9642386.9069802873</v>
      </c>
      <c r="Q8" s="3">
        <v>9700000</v>
      </c>
      <c r="R8" s="3">
        <f t="shared" si="9"/>
        <v>244523759.26408169</v>
      </c>
      <c r="S8" s="5">
        <f>R8*T31/1000</f>
        <v>381457.06445196742</v>
      </c>
      <c r="T8" s="6">
        <f t="shared" si="10"/>
        <v>4577484.7734236093</v>
      </c>
      <c r="U8" s="6">
        <f t="shared" si="11"/>
        <v>17751000</v>
      </c>
    </row>
    <row r="9" spans="1:21">
      <c r="A9" s="2">
        <f t="shared" si="12"/>
        <v>2016</v>
      </c>
      <c r="B9" s="3">
        <f t="shared" si="13"/>
        <v>12249.978030792679</v>
      </c>
      <c r="C9" s="3">
        <f t="shared" si="1"/>
        <v>3368743.9584679869</v>
      </c>
      <c r="D9" s="3">
        <f t="shared" si="2"/>
        <v>90000</v>
      </c>
      <c r="E9" s="3">
        <f t="shared" si="0"/>
        <v>911780.82191780827</v>
      </c>
      <c r="F9" s="3">
        <f t="shared" ref="F9:F22" si="15">F8*(1-0.11)</f>
        <v>950520</v>
      </c>
      <c r="G9" s="3">
        <f t="shared" si="3"/>
        <v>1952300.8219178081</v>
      </c>
      <c r="H9" s="3">
        <f t="shared" si="14"/>
        <v>62500</v>
      </c>
      <c r="I9" s="3">
        <f t="shared" si="4"/>
        <v>18720</v>
      </c>
      <c r="J9" s="3">
        <f t="shared" ref="J9:J10" si="16">800000*300/1000</f>
        <v>240000</v>
      </c>
      <c r="K9" s="3">
        <f t="shared" si="5"/>
        <v>321220</v>
      </c>
      <c r="L9" s="3">
        <f t="shared" si="6"/>
        <v>5642264.780385795</v>
      </c>
      <c r="M9" s="3">
        <f>L9*E59</f>
        <v>2426173.8555658916</v>
      </c>
      <c r="N9" s="4">
        <f t="shared" si="7"/>
        <v>8068438.6359516867</v>
      </c>
      <c r="O9" s="3">
        <f>N9*E61</f>
        <v>1476524.2703791587</v>
      </c>
      <c r="P9" s="3">
        <f t="shared" si="8"/>
        <v>9544962.9063308463</v>
      </c>
      <c r="Q9" s="3">
        <v>9600000</v>
      </c>
      <c r="R9" s="3">
        <f t="shared" si="9"/>
        <v>242053159.07855061</v>
      </c>
      <c r="S9" s="5">
        <f>R9*T31/1000</f>
        <v>377602.92816253897</v>
      </c>
      <c r="T9" s="6">
        <f t="shared" si="10"/>
        <v>4531235.1379504679</v>
      </c>
      <c r="U9" s="6">
        <f t="shared" si="11"/>
        <v>17568000</v>
      </c>
    </row>
    <row r="10" spans="1:21">
      <c r="A10" s="2">
        <f t="shared" si="12"/>
        <v>2017</v>
      </c>
      <c r="B10" s="3">
        <f t="shared" si="13"/>
        <v>12471.702633150027</v>
      </c>
      <c r="C10" s="3">
        <f t="shared" si="1"/>
        <v>3429718.2241162574</v>
      </c>
      <c r="D10" s="3">
        <f t="shared" si="2"/>
        <v>90000</v>
      </c>
      <c r="E10" s="3">
        <f t="shared" si="0"/>
        <v>911780.82191780827</v>
      </c>
      <c r="F10" s="3">
        <f t="shared" si="15"/>
        <v>845962.8</v>
      </c>
      <c r="G10" s="3">
        <f t="shared" si="3"/>
        <v>1847743.6219178084</v>
      </c>
      <c r="H10" s="3">
        <f t="shared" si="14"/>
        <v>62500</v>
      </c>
      <c r="I10" s="3">
        <f t="shared" si="4"/>
        <v>18720</v>
      </c>
      <c r="J10" s="3">
        <f t="shared" si="16"/>
        <v>240000</v>
      </c>
      <c r="K10" s="3">
        <f t="shared" si="5"/>
        <v>321220</v>
      </c>
      <c r="L10" s="3">
        <f t="shared" si="6"/>
        <v>5598681.8460340658</v>
      </c>
      <c r="M10" s="3">
        <f>L10*E59</f>
        <v>2407433.1937946482</v>
      </c>
      <c r="N10" s="4">
        <f t="shared" si="7"/>
        <v>8006115.039828714</v>
      </c>
      <c r="O10" s="3">
        <f>N10*E61</f>
        <v>1465119.0522886547</v>
      </c>
      <c r="P10" s="3">
        <f t="shared" si="8"/>
        <v>9471234.0921173692</v>
      </c>
      <c r="Q10" s="3">
        <v>9500000</v>
      </c>
      <c r="R10" s="3">
        <f t="shared" si="9"/>
        <v>240183451.19486141</v>
      </c>
      <c r="S10" s="5">
        <f>R10*T31/1000</f>
        <v>374686.18386398384</v>
      </c>
      <c r="T10" s="6">
        <f t="shared" si="10"/>
        <v>4496234.2063678056</v>
      </c>
      <c r="U10" s="6">
        <f t="shared" si="11"/>
        <v>17385000</v>
      </c>
    </row>
    <row r="11" spans="1:21">
      <c r="A11" s="2">
        <f t="shared" si="12"/>
        <v>2018</v>
      </c>
      <c r="B11" s="3">
        <f t="shared" si="13"/>
        <v>12697.440450810043</v>
      </c>
      <c r="C11" s="3">
        <f t="shared" si="1"/>
        <v>3491796.1239727619</v>
      </c>
      <c r="D11" s="3">
        <f t="shared" si="2"/>
        <v>90000</v>
      </c>
      <c r="E11" s="3">
        <f t="shared" si="0"/>
        <v>911780.82191780827</v>
      </c>
      <c r="F11" s="3">
        <f t="shared" si="15"/>
        <v>752906.89200000011</v>
      </c>
      <c r="G11" s="3">
        <f t="shared" si="3"/>
        <v>1754687.7139178084</v>
      </c>
      <c r="H11" s="3">
        <f t="shared" si="14"/>
        <v>62500</v>
      </c>
      <c r="I11" s="3">
        <f t="shared" si="4"/>
        <v>18720</v>
      </c>
      <c r="J11" s="3">
        <f>(800000+625000)*300/1000</f>
        <v>427500</v>
      </c>
      <c r="K11" s="3">
        <f t="shared" si="5"/>
        <v>508720</v>
      </c>
      <c r="L11" s="3">
        <f t="shared" si="6"/>
        <v>5755203.8378905701</v>
      </c>
      <c r="M11" s="3">
        <f>L11*E59</f>
        <v>2474737.6502929451</v>
      </c>
      <c r="N11" s="4">
        <f t="shared" si="7"/>
        <v>8229941.4881835151</v>
      </c>
      <c r="O11" s="3">
        <f>N11*E61</f>
        <v>1506079.2923375831</v>
      </c>
      <c r="P11" s="3">
        <f t="shared" si="8"/>
        <v>9736020.7805210985</v>
      </c>
      <c r="Q11" s="3">
        <v>9800000</v>
      </c>
      <c r="R11" s="3">
        <f t="shared" si="9"/>
        <v>246898244.64550546</v>
      </c>
      <c r="S11" s="5">
        <f>R11*T31/1000</f>
        <v>385161.26164698851</v>
      </c>
      <c r="T11" s="6">
        <f t="shared" si="10"/>
        <v>4621935.1397638619</v>
      </c>
      <c r="U11" s="6">
        <f t="shared" si="11"/>
        <v>17934000</v>
      </c>
    </row>
    <row r="12" spans="1:21">
      <c r="A12" s="2">
        <f t="shared" si="12"/>
        <v>2019</v>
      </c>
      <c r="B12" s="3">
        <f t="shared" si="13"/>
        <v>12927.264122969706</v>
      </c>
      <c r="C12" s="3">
        <f t="shared" si="1"/>
        <v>3554997.6338166692</v>
      </c>
      <c r="D12" s="3">
        <f t="shared" si="2"/>
        <v>90000</v>
      </c>
      <c r="E12" s="3">
        <f t="shared" si="0"/>
        <v>911780.82191780827</v>
      </c>
      <c r="F12" s="3">
        <f t="shared" si="15"/>
        <v>670087.1338800001</v>
      </c>
      <c r="G12" s="3">
        <f t="shared" si="3"/>
        <v>1671867.9557978082</v>
      </c>
      <c r="H12" s="3">
        <f t="shared" si="14"/>
        <v>62500</v>
      </c>
      <c r="I12" s="3">
        <f t="shared" si="4"/>
        <v>18720</v>
      </c>
      <c r="J12" s="3">
        <f t="shared" ref="J12" si="17">(800000+625000)*300/1000</f>
        <v>427500</v>
      </c>
      <c r="K12" s="3">
        <f t="shared" si="5"/>
        <v>508720</v>
      </c>
      <c r="L12" s="3">
        <f t="shared" si="6"/>
        <v>5735585.589614477</v>
      </c>
      <c r="M12" s="3">
        <f>L12*E59</f>
        <v>2466301.8035342251</v>
      </c>
      <c r="N12" s="4">
        <f t="shared" si="7"/>
        <v>8201887.3931487016</v>
      </c>
      <c r="O12" s="3">
        <f>N12*E61</f>
        <v>1500945.3929462123</v>
      </c>
      <c r="P12" s="3">
        <f t="shared" si="8"/>
        <v>9702832.7860949133</v>
      </c>
      <c r="Q12" s="3">
        <v>9800000</v>
      </c>
      <c r="R12" s="3">
        <f t="shared" si="9"/>
        <v>246056621.79446104</v>
      </c>
      <c r="S12" s="5">
        <f>R12*T31/1000</f>
        <v>383848.32999935927</v>
      </c>
      <c r="T12" s="6">
        <f t="shared" si="10"/>
        <v>4606179.959992311</v>
      </c>
      <c r="U12" s="6">
        <f t="shared" si="11"/>
        <v>17934000</v>
      </c>
    </row>
    <row r="13" spans="1:21">
      <c r="A13" s="2">
        <f t="shared" si="12"/>
        <v>2020</v>
      </c>
      <c r="B13" s="3">
        <f t="shared" si="13"/>
        <v>13161.247603595457</v>
      </c>
      <c r="C13" s="3">
        <f t="shared" si="1"/>
        <v>3619343.0909887506</v>
      </c>
      <c r="D13" s="3">
        <f t="shared" si="2"/>
        <v>90000</v>
      </c>
      <c r="F13" s="3">
        <f t="shared" si="15"/>
        <v>596377.54915320012</v>
      </c>
      <c r="G13" s="3">
        <f t="shared" si="3"/>
        <v>686377.54915320012</v>
      </c>
      <c r="H13" s="3">
        <f t="shared" si="14"/>
        <v>62500</v>
      </c>
      <c r="I13" s="3">
        <f t="shared" si="4"/>
        <v>18720</v>
      </c>
      <c r="J13" s="3">
        <f>(800000+625000+100000)*300/1000</f>
        <v>457500</v>
      </c>
      <c r="K13" s="3">
        <f t="shared" si="5"/>
        <v>538720</v>
      </c>
      <c r="L13" s="3">
        <f t="shared" si="6"/>
        <v>4844440.6401419509</v>
      </c>
      <c r="M13" s="3">
        <f>L13*E59</f>
        <v>2083109.4752610389</v>
      </c>
      <c r="N13" s="4">
        <f t="shared" si="7"/>
        <v>6927550.11540299</v>
      </c>
      <c r="O13" s="3">
        <f>N13*E61</f>
        <v>1267741.6711187472</v>
      </c>
      <c r="P13" s="3">
        <f t="shared" si="8"/>
        <v>8195291.7865217375</v>
      </c>
      <c r="Q13" s="3">
        <v>8200000</v>
      </c>
      <c r="R13" s="3">
        <f t="shared" si="9"/>
        <v>207826503.46208969</v>
      </c>
      <c r="S13" s="5">
        <f>R13*T31/1000</f>
        <v>324209.34540085995</v>
      </c>
      <c r="T13" s="6">
        <f t="shared" si="10"/>
        <v>3890512.1448103194</v>
      </c>
      <c r="U13" s="6">
        <f t="shared" si="11"/>
        <v>15006000</v>
      </c>
    </row>
    <row r="14" spans="1:21">
      <c r="A14" s="2">
        <f t="shared" si="12"/>
        <v>2021</v>
      </c>
      <c r="B14" s="3">
        <f t="shared" si="13"/>
        <v>13399.466185220535</v>
      </c>
      <c r="C14" s="3">
        <f t="shared" si="1"/>
        <v>3684853.2009356474</v>
      </c>
      <c r="D14" s="3">
        <f t="shared" si="2"/>
        <v>90000</v>
      </c>
      <c r="F14" s="3">
        <f t="shared" si="15"/>
        <v>530776.0187463481</v>
      </c>
      <c r="G14" s="3">
        <f t="shared" si="3"/>
        <v>620776.0187463481</v>
      </c>
      <c r="H14" s="3">
        <f t="shared" si="14"/>
        <v>62500</v>
      </c>
      <c r="I14" s="3">
        <f t="shared" si="4"/>
        <v>18720</v>
      </c>
      <c r="J14" s="3">
        <f t="shared" ref="J14:J28" si="18">(800000+625000+100000)*300/1000</f>
        <v>457500</v>
      </c>
      <c r="K14" s="3">
        <f t="shared" si="5"/>
        <v>538720</v>
      </c>
      <c r="L14" s="3">
        <f t="shared" si="6"/>
        <v>4844349.219681995</v>
      </c>
      <c r="M14" s="3">
        <f>L14*E59</f>
        <v>2083070.1644632579</v>
      </c>
      <c r="N14" s="4">
        <f t="shared" si="7"/>
        <v>6927419.3841452524</v>
      </c>
      <c r="O14" s="3">
        <f>N14*E61</f>
        <v>1267717.7472985811</v>
      </c>
      <c r="P14" s="3">
        <f t="shared" si="8"/>
        <v>8195137.1314438339</v>
      </c>
      <c r="Q14" s="3">
        <v>8200000</v>
      </c>
      <c r="R14" s="3">
        <f t="shared" si="9"/>
        <v>207822581.52435756</v>
      </c>
      <c r="S14" s="5">
        <f>R14*T31/1000</f>
        <v>324203.22717799782</v>
      </c>
      <c r="T14" s="6">
        <f t="shared" si="10"/>
        <v>3890438.7261359738</v>
      </c>
      <c r="U14" s="6">
        <f t="shared" si="11"/>
        <v>15006000</v>
      </c>
    </row>
    <row r="15" spans="1:21">
      <c r="A15" s="2">
        <f t="shared" si="12"/>
        <v>2022</v>
      </c>
      <c r="B15" s="3">
        <f t="shared" si="13"/>
        <v>13641.996523173028</v>
      </c>
      <c r="C15" s="3">
        <f t="shared" si="1"/>
        <v>3751549.0438725827</v>
      </c>
      <c r="D15" s="3">
        <f t="shared" si="2"/>
        <v>90000</v>
      </c>
      <c r="F15" s="3">
        <f t="shared" si="15"/>
        <v>472390.65668424981</v>
      </c>
      <c r="G15" s="3">
        <f t="shared" si="3"/>
        <v>562390.65668424987</v>
      </c>
      <c r="H15" s="3">
        <f t="shared" si="14"/>
        <v>62500</v>
      </c>
      <c r="I15" s="3">
        <f t="shared" si="4"/>
        <v>18720</v>
      </c>
      <c r="J15" s="3">
        <f t="shared" si="18"/>
        <v>457500</v>
      </c>
      <c r="K15" s="3">
        <f t="shared" si="5"/>
        <v>538720</v>
      </c>
      <c r="L15" s="3">
        <f t="shared" si="6"/>
        <v>4852659.7005568324</v>
      </c>
      <c r="M15" s="3">
        <f>L15*E59</f>
        <v>2086643.671239438</v>
      </c>
      <c r="N15" s="4">
        <f t="shared" si="7"/>
        <v>6939303.3717962708</v>
      </c>
      <c r="O15" s="3">
        <f>N15*E61</f>
        <v>1269892.5170387176</v>
      </c>
      <c r="P15" s="3">
        <f t="shared" si="8"/>
        <v>8209195.8888349887</v>
      </c>
      <c r="Q15" s="3">
        <v>8300000</v>
      </c>
      <c r="R15" s="3">
        <f t="shared" si="9"/>
        <v>208179101.15388814</v>
      </c>
      <c r="S15" s="5">
        <f>R15*T31/1000</f>
        <v>324759.39780006552</v>
      </c>
      <c r="T15" s="6">
        <f t="shared" si="10"/>
        <v>3897112.773600786</v>
      </c>
      <c r="U15" s="6">
        <f t="shared" si="11"/>
        <v>15189000</v>
      </c>
    </row>
    <row r="16" spans="1:21">
      <c r="A16" s="2">
        <f t="shared" si="12"/>
        <v>2023</v>
      </c>
      <c r="B16" s="3">
        <f t="shared" si="13"/>
        <v>13888.916660242459</v>
      </c>
      <c r="C16" s="3">
        <f t="shared" si="1"/>
        <v>3819452.0815666765</v>
      </c>
      <c r="D16" s="3">
        <f t="shared" si="2"/>
        <v>90000</v>
      </c>
      <c r="F16" s="3">
        <f t="shared" si="15"/>
        <v>420427.68444898236</v>
      </c>
      <c r="G16" s="3">
        <f t="shared" si="3"/>
        <v>510427.68444898236</v>
      </c>
      <c r="H16" s="3">
        <f t="shared" si="14"/>
        <v>62500</v>
      </c>
      <c r="I16" s="3">
        <f t="shared" si="4"/>
        <v>18720</v>
      </c>
      <c r="J16" s="3">
        <f t="shared" si="18"/>
        <v>457500</v>
      </c>
      <c r="K16" s="3">
        <f t="shared" si="5"/>
        <v>538720</v>
      </c>
      <c r="L16" s="3">
        <f t="shared" si="6"/>
        <v>4868599.7660156591</v>
      </c>
      <c r="M16" s="3">
        <f>L16*E59</f>
        <v>2093497.8993867333</v>
      </c>
      <c r="N16" s="4">
        <f t="shared" si="7"/>
        <v>6962097.6654023919</v>
      </c>
      <c r="O16" s="3">
        <f>N16*E61</f>
        <v>1274063.8727686377</v>
      </c>
      <c r="P16" s="3">
        <f t="shared" si="8"/>
        <v>8236161.5381710296</v>
      </c>
      <c r="Q16" s="3">
        <v>8300000</v>
      </c>
      <c r="R16" s="3">
        <f t="shared" si="9"/>
        <v>208862929.96207175</v>
      </c>
      <c r="S16" s="5">
        <f>R16*T31/1000</f>
        <v>325826.17074083193</v>
      </c>
      <c r="T16" s="6">
        <f t="shared" si="10"/>
        <v>3909914.0488899834</v>
      </c>
      <c r="U16" s="6">
        <f t="shared" si="11"/>
        <v>15189000</v>
      </c>
    </row>
    <row r="17" spans="1:21">
      <c r="A17" s="2">
        <f t="shared" si="12"/>
        <v>2024</v>
      </c>
      <c r="B17" s="3">
        <f t="shared" si="13"/>
        <v>14140.306051792848</v>
      </c>
      <c r="C17" s="3">
        <f t="shared" si="1"/>
        <v>3888584.1642430332</v>
      </c>
      <c r="D17" s="3">
        <f t="shared" si="2"/>
        <v>90000</v>
      </c>
      <c r="F17" s="3">
        <f t="shared" si="15"/>
        <v>374180.63915959431</v>
      </c>
      <c r="G17" s="3">
        <f t="shared" si="3"/>
        <v>464180.63915959431</v>
      </c>
      <c r="H17" s="3">
        <f t="shared" si="14"/>
        <v>62500</v>
      </c>
      <c r="I17" s="3">
        <f t="shared" si="4"/>
        <v>18720</v>
      </c>
      <c r="J17" s="3">
        <f t="shared" si="18"/>
        <v>457500</v>
      </c>
      <c r="K17" s="3">
        <f t="shared" si="5"/>
        <v>538720</v>
      </c>
      <c r="L17" s="3">
        <f t="shared" si="6"/>
        <v>4891484.8034026278</v>
      </c>
      <c r="M17" s="3">
        <f>L17*E59</f>
        <v>2103338.4654631298</v>
      </c>
      <c r="N17" s="4">
        <f t="shared" si="7"/>
        <v>6994823.2688657576</v>
      </c>
      <c r="O17" s="3">
        <f>N17*E61</f>
        <v>1280052.6582024337</v>
      </c>
      <c r="P17" s="3">
        <f t="shared" si="8"/>
        <v>8274875.9270681916</v>
      </c>
      <c r="Q17" s="3">
        <v>8300000</v>
      </c>
      <c r="R17" s="3">
        <f t="shared" si="9"/>
        <v>209844698.06597272</v>
      </c>
      <c r="S17" s="5">
        <f>R17*T31/1000</f>
        <v>327357.72898291744</v>
      </c>
      <c r="T17" s="6">
        <f t="shared" si="10"/>
        <v>3928292.7477950091</v>
      </c>
      <c r="U17" s="6">
        <f t="shared" si="11"/>
        <v>15189000</v>
      </c>
    </row>
    <row r="18" spans="1:21">
      <c r="A18" s="2">
        <f t="shared" si="12"/>
        <v>2025</v>
      </c>
      <c r="B18" s="3">
        <f t="shared" si="13"/>
        <v>14396.245591330298</v>
      </c>
      <c r="C18" s="3">
        <f t="shared" si="1"/>
        <v>3958967.5376158319</v>
      </c>
      <c r="D18" s="3">
        <f t="shared" si="2"/>
        <v>90000</v>
      </c>
      <c r="F18" s="3">
        <f t="shared" si="15"/>
        <v>333020.76885203895</v>
      </c>
      <c r="G18" s="3">
        <f t="shared" si="3"/>
        <v>423020.76885203895</v>
      </c>
      <c r="H18" s="3">
        <f t="shared" si="14"/>
        <v>62500</v>
      </c>
      <c r="I18" s="3">
        <f t="shared" si="4"/>
        <v>18720</v>
      </c>
      <c r="J18" s="3">
        <f t="shared" si="18"/>
        <v>457500</v>
      </c>
      <c r="K18" s="3">
        <f t="shared" si="5"/>
        <v>538720</v>
      </c>
      <c r="L18" s="3">
        <f t="shared" si="6"/>
        <v>4920708.3064678712</v>
      </c>
      <c r="M18" s="3">
        <f>L18*E59</f>
        <v>2115904.5717811845</v>
      </c>
      <c r="N18" s="4">
        <f t="shared" si="7"/>
        <v>7036612.8782490557</v>
      </c>
      <c r="O18" s="3">
        <f>N18*E61</f>
        <v>1287700.1567195773</v>
      </c>
      <c r="P18" s="3">
        <f t="shared" si="8"/>
        <v>8324313.0349686332</v>
      </c>
      <c r="Q18" s="3">
        <v>8400000</v>
      </c>
      <c r="R18" s="3">
        <f t="shared" si="9"/>
        <v>211098386.34747168</v>
      </c>
      <c r="S18" s="5">
        <f>R18*T31/1000</f>
        <v>329313.48270205583</v>
      </c>
      <c r="T18" s="6">
        <f t="shared" si="10"/>
        <v>3951761.79242467</v>
      </c>
      <c r="U18" s="6">
        <f t="shared" si="11"/>
        <v>15372000</v>
      </c>
    </row>
    <row r="19" spans="1:21">
      <c r="A19" s="2">
        <f t="shared" si="12"/>
        <v>2026</v>
      </c>
      <c r="B19" s="3">
        <f t="shared" si="13"/>
        <v>14656.817636533377</v>
      </c>
      <c r="C19" s="3">
        <f t="shared" si="1"/>
        <v>4030624.8500466784</v>
      </c>
      <c r="D19" s="3">
        <f t="shared" si="2"/>
        <v>90000</v>
      </c>
      <c r="F19" s="3">
        <f t="shared" si="15"/>
        <v>296388.48427831469</v>
      </c>
      <c r="G19" s="3">
        <f t="shared" si="3"/>
        <v>386388.48427831469</v>
      </c>
      <c r="H19" s="3">
        <f t="shared" si="14"/>
        <v>62500</v>
      </c>
      <c r="I19" s="3">
        <f t="shared" si="4"/>
        <v>18720</v>
      </c>
      <c r="J19" s="3">
        <f t="shared" si="18"/>
        <v>457500</v>
      </c>
      <c r="K19" s="3">
        <f t="shared" si="5"/>
        <v>538720</v>
      </c>
      <c r="L19" s="3">
        <f t="shared" si="6"/>
        <v>4955733.3343249932</v>
      </c>
      <c r="M19" s="3">
        <f>L19*E59</f>
        <v>2130965.333759747</v>
      </c>
      <c r="N19" s="4">
        <f t="shared" si="7"/>
        <v>7086698.6680847406</v>
      </c>
      <c r="O19" s="3">
        <f>N19*E61</f>
        <v>1296865.8562595076</v>
      </c>
      <c r="P19" s="3">
        <f t="shared" si="8"/>
        <v>8383564.5243442487</v>
      </c>
      <c r="Q19" s="3">
        <v>8400000</v>
      </c>
      <c r="R19" s="3">
        <f t="shared" si="9"/>
        <v>212600960.04254222</v>
      </c>
      <c r="S19" s="5">
        <f>R19*T31/1000</f>
        <v>331657.49766636587</v>
      </c>
      <c r="T19" s="6">
        <f t="shared" si="10"/>
        <v>3979889.9719963903</v>
      </c>
      <c r="U19" s="6">
        <f t="shared" si="11"/>
        <v>15372000</v>
      </c>
    </row>
    <row r="20" spans="1:21">
      <c r="A20" s="2">
        <f t="shared" si="12"/>
        <v>2027</v>
      </c>
      <c r="B20" s="3">
        <f t="shared" si="13"/>
        <v>14922.10603575463</v>
      </c>
      <c r="C20" s="3">
        <f t="shared" si="1"/>
        <v>4103579.1598325232</v>
      </c>
      <c r="D20" s="3">
        <f t="shared" si="2"/>
        <v>90000</v>
      </c>
      <c r="F20" s="3">
        <f t="shared" si="15"/>
        <v>263785.75100770005</v>
      </c>
      <c r="G20" s="3">
        <f t="shared" si="3"/>
        <v>353785.75100770005</v>
      </c>
      <c r="H20" s="3">
        <f t="shared" si="14"/>
        <v>62500</v>
      </c>
      <c r="I20" s="3">
        <f t="shared" si="4"/>
        <v>18720</v>
      </c>
      <c r="J20" s="3">
        <f t="shared" si="18"/>
        <v>457500</v>
      </c>
      <c r="K20" s="3">
        <f t="shared" si="5"/>
        <v>538720</v>
      </c>
      <c r="L20" s="3">
        <f t="shared" si="6"/>
        <v>4996084.9108402235</v>
      </c>
      <c r="M20" s="3">
        <f>L20*E59</f>
        <v>2148316.5116612962</v>
      </c>
      <c r="N20" s="4">
        <f t="shared" si="7"/>
        <v>7144401.4225015193</v>
      </c>
      <c r="O20" s="3">
        <f>N20*E61</f>
        <v>1307425.4603177779</v>
      </c>
      <c r="P20" s="3">
        <f t="shared" si="8"/>
        <v>8451826.8828192968</v>
      </c>
      <c r="Q20" s="3">
        <v>8500000</v>
      </c>
      <c r="R20" s="3">
        <f t="shared" si="9"/>
        <v>214332042.67504558</v>
      </c>
      <c r="S20" s="5">
        <f>R20*T31/1000</f>
        <v>334357.9865730711</v>
      </c>
      <c r="T20" s="6">
        <f t="shared" si="10"/>
        <v>4012295.8388768532</v>
      </c>
      <c r="U20" s="6">
        <f t="shared" si="11"/>
        <v>15555000</v>
      </c>
    </row>
    <row r="21" spans="1:21">
      <c r="A21" s="2">
        <f t="shared" si="12"/>
        <v>2028</v>
      </c>
      <c r="B21" s="3">
        <f t="shared" si="13"/>
        <v>15192.19615500179</v>
      </c>
      <c r="C21" s="3">
        <f t="shared" si="1"/>
        <v>4177853.9426254923</v>
      </c>
      <c r="D21" s="3">
        <f t="shared" si="2"/>
        <v>90000</v>
      </c>
      <c r="F21" s="3">
        <f t="shared" si="15"/>
        <v>234769.31839685305</v>
      </c>
      <c r="G21" s="3">
        <f t="shared" si="3"/>
        <v>324769.31839685305</v>
      </c>
      <c r="H21" s="3">
        <f t="shared" si="14"/>
        <v>62500</v>
      </c>
      <c r="I21" s="3">
        <f t="shared" si="4"/>
        <v>18720</v>
      </c>
      <c r="J21" s="3">
        <f t="shared" si="18"/>
        <v>457500</v>
      </c>
      <c r="K21" s="3">
        <f t="shared" si="5"/>
        <v>538720</v>
      </c>
      <c r="L21" s="3">
        <f t="shared" si="6"/>
        <v>5041343.2610223452</v>
      </c>
      <c r="M21" s="3">
        <f>L21*E59</f>
        <v>2167777.6022396083</v>
      </c>
      <c r="N21" s="4">
        <f t="shared" si="7"/>
        <v>7209120.863261953</v>
      </c>
      <c r="O21" s="3">
        <f>N21*E61</f>
        <v>1319269.1179769374</v>
      </c>
      <c r="P21" s="3">
        <f t="shared" si="8"/>
        <v>8528389.9812388904</v>
      </c>
      <c r="Q21" s="3">
        <v>8600000</v>
      </c>
      <c r="R21" s="3">
        <f t="shared" si="9"/>
        <v>216273625.89785859</v>
      </c>
      <c r="S21" s="5">
        <f>R21*T31/1000</f>
        <v>337386.85640065937</v>
      </c>
      <c r="T21" s="6">
        <f t="shared" si="10"/>
        <v>4048642.2768079126</v>
      </c>
      <c r="U21" s="6">
        <f t="shared" si="11"/>
        <v>15738000</v>
      </c>
    </row>
    <row r="22" spans="1:21">
      <c r="A22" s="2">
        <f t="shared" si="12"/>
        <v>2029</v>
      </c>
      <c r="B22" s="3">
        <f t="shared" si="13"/>
        <v>15467.174905407323</v>
      </c>
      <c r="C22" s="3">
        <f t="shared" si="1"/>
        <v>4253473.098987014</v>
      </c>
      <c r="D22" s="3">
        <f t="shared" si="2"/>
        <v>90000</v>
      </c>
      <c r="F22" s="3">
        <f t="shared" si="15"/>
        <v>208944.69337319923</v>
      </c>
      <c r="G22" s="3">
        <f t="shared" si="3"/>
        <v>298944.6933731992</v>
      </c>
      <c r="H22" s="3">
        <f t="shared" si="14"/>
        <v>62500</v>
      </c>
      <c r="I22" s="3">
        <f t="shared" si="4"/>
        <v>18720</v>
      </c>
      <c r="J22" s="3">
        <f t="shared" si="18"/>
        <v>457500</v>
      </c>
      <c r="K22" s="3">
        <f t="shared" si="5"/>
        <v>538720</v>
      </c>
      <c r="L22" s="3">
        <f t="shared" si="6"/>
        <v>5091137.7923602136</v>
      </c>
      <c r="M22" s="3">
        <f>L22*E59</f>
        <v>2189189.2507148916</v>
      </c>
      <c r="N22" s="4">
        <f t="shared" si="7"/>
        <v>7280327.0430751052</v>
      </c>
      <c r="O22" s="3">
        <f>N22*E61</f>
        <v>1332299.8488827443</v>
      </c>
      <c r="P22" s="3">
        <f t="shared" si="8"/>
        <v>8612626.8919578493</v>
      </c>
      <c r="Q22" s="3">
        <v>8700000</v>
      </c>
      <c r="R22" s="3">
        <f t="shared" si="9"/>
        <v>218409811.29225317</v>
      </c>
      <c r="S22" s="5">
        <f>R22*T31/1000</f>
        <v>340719.30561591493</v>
      </c>
      <c r="T22" s="6">
        <f t="shared" si="10"/>
        <v>4088631.6673909789</v>
      </c>
      <c r="U22" s="6">
        <f t="shared" si="11"/>
        <v>15921000</v>
      </c>
    </row>
    <row r="23" spans="1:21">
      <c r="A23" s="2">
        <f t="shared" si="12"/>
        <v>2030</v>
      </c>
      <c r="B23" s="3">
        <f t="shared" si="13"/>
        <v>15747.130771195196</v>
      </c>
      <c r="C23" s="3">
        <f t="shared" si="1"/>
        <v>4330460.9620786784</v>
      </c>
      <c r="D23" s="3">
        <f t="shared" si="2"/>
        <v>90000</v>
      </c>
      <c r="G23" s="3">
        <f t="shared" si="3"/>
        <v>90000</v>
      </c>
      <c r="H23" s="3">
        <f t="shared" si="14"/>
        <v>62500</v>
      </c>
      <c r="I23" s="3">
        <f t="shared" si="4"/>
        <v>18720</v>
      </c>
      <c r="J23" s="3">
        <f t="shared" si="18"/>
        <v>457500</v>
      </c>
      <c r="K23" s="3">
        <f t="shared" si="5"/>
        <v>538720</v>
      </c>
      <c r="L23" s="3">
        <f t="shared" si="6"/>
        <v>4959180.9620786784</v>
      </c>
      <c r="M23" s="3">
        <f>L23*E59</f>
        <v>2132447.8136938317</v>
      </c>
      <c r="N23" s="4">
        <f t="shared" si="7"/>
        <v>7091628.7757725101</v>
      </c>
      <c r="O23" s="3">
        <f>N23*E61</f>
        <v>1297768.0659663694</v>
      </c>
      <c r="P23" s="3">
        <f t="shared" si="8"/>
        <v>8389396.8417388797</v>
      </c>
      <c r="Q23" s="3">
        <v>8400000</v>
      </c>
      <c r="R23" s="3">
        <f t="shared" si="9"/>
        <v>212748863.2731753</v>
      </c>
      <c r="S23" s="5">
        <f>R23*T31/1000</f>
        <v>331888.22670615348</v>
      </c>
      <c r="T23" s="6">
        <f t="shared" si="10"/>
        <v>3982658.7204738418</v>
      </c>
      <c r="U23" s="6">
        <f t="shared" si="11"/>
        <v>15372000</v>
      </c>
    </row>
    <row r="24" spans="1:21">
      <c r="A24" s="2">
        <f t="shared" si="12"/>
        <v>2031</v>
      </c>
      <c r="B24" s="3">
        <f t="shared" si="13"/>
        <v>16032.153838153828</v>
      </c>
      <c r="C24" s="3">
        <f t="shared" si="1"/>
        <v>4408842.3054923024</v>
      </c>
      <c r="D24" s="3">
        <f t="shared" si="2"/>
        <v>90000</v>
      </c>
      <c r="G24" s="3">
        <f t="shared" si="3"/>
        <v>90000</v>
      </c>
      <c r="H24" s="3">
        <f t="shared" si="14"/>
        <v>62500</v>
      </c>
      <c r="I24" s="3">
        <f t="shared" si="4"/>
        <v>18720</v>
      </c>
      <c r="J24" s="3">
        <f t="shared" si="18"/>
        <v>457500</v>
      </c>
      <c r="K24" s="3">
        <f t="shared" si="5"/>
        <v>538720</v>
      </c>
      <c r="L24" s="3">
        <f t="shared" si="6"/>
        <v>5037562.3054923024</v>
      </c>
      <c r="M24" s="3">
        <f>L24*E59</f>
        <v>2166151.79136169</v>
      </c>
      <c r="N24" s="4">
        <f t="shared" si="7"/>
        <v>7203714.096853992</v>
      </c>
      <c r="O24" s="3">
        <f>N24*E61</f>
        <v>1318279.6797242805</v>
      </c>
      <c r="P24" s="3">
        <f t="shared" si="8"/>
        <v>8521993.7765782718</v>
      </c>
      <c r="Q24" s="3">
        <v>8600000</v>
      </c>
      <c r="R24" s="3">
        <f t="shared" si="9"/>
        <v>216111422.90561977</v>
      </c>
      <c r="S24" s="5">
        <f>R24*T31/1000</f>
        <v>337133.81973276689</v>
      </c>
      <c r="T24" s="6">
        <f t="shared" si="10"/>
        <v>4045605.8367932029</v>
      </c>
      <c r="U24" s="6">
        <f t="shared" si="11"/>
        <v>15738000</v>
      </c>
    </row>
    <row r="25" spans="1:21">
      <c r="A25" s="2">
        <f t="shared" si="12"/>
        <v>2032</v>
      </c>
      <c r="B25" s="3">
        <f t="shared" si="13"/>
        <v>16322.335822624413</v>
      </c>
      <c r="C25" s="3">
        <f t="shared" si="1"/>
        <v>4488642.3512217132</v>
      </c>
      <c r="D25" s="3">
        <f t="shared" si="2"/>
        <v>90000</v>
      </c>
      <c r="G25" s="3">
        <f t="shared" si="3"/>
        <v>90000</v>
      </c>
      <c r="H25" s="3">
        <f t="shared" si="14"/>
        <v>62500</v>
      </c>
      <c r="I25" s="3">
        <f t="shared" si="4"/>
        <v>18720</v>
      </c>
      <c r="J25" s="3">
        <f t="shared" si="18"/>
        <v>457500</v>
      </c>
      <c r="K25" s="3">
        <f t="shared" si="5"/>
        <v>538720</v>
      </c>
      <c r="L25" s="3">
        <f t="shared" si="6"/>
        <v>5117362.3512217132</v>
      </c>
      <c r="M25" s="3">
        <f>L25*E59</f>
        <v>2200465.8110253369</v>
      </c>
      <c r="N25" s="4">
        <f t="shared" si="7"/>
        <v>7317828.1622470506</v>
      </c>
      <c r="O25" s="3">
        <f>N25*E61</f>
        <v>1339162.5536912102</v>
      </c>
      <c r="P25" s="3">
        <f t="shared" si="8"/>
        <v>8656990.7159382608</v>
      </c>
      <c r="Q25" s="3">
        <v>8700000</v>
      </c>
      <c r="R25" s="3">
        <f t="shared" si="9"/>
        <v>219534844.86741152</v>
      </c>
      <c r="S25" s="5">
        <f>R25*T31/1000</f>
        <v>342474.357993162</v>
      </c>
      <c r="T25" s="6">
        <f t="shared" si="10"/>
        <v>4109692.2959179441</v>
      </c>
      <c r="U25" s="6">
        <f t="shared" si="11"/>
        <v>15921000</v>
      </c>
    </row>
    <row r="26" spans="1:21">
      <c r="A26" s="2">
        <f t="shared" si="12"/>
        <v>2033</v>
      </c>
      <c r="B26" s="3">
        <f t="shared" si="13"/>
        <v>16617.770101013914</v>
      </c>
      <c r="C26" s="3">
        <f t="shared" si="1"/>
        <v>4569886.7777788267</v>
      </c>
      <c r="D26" s="3">
        <f t="shared" si="2"/>
        <v>90000</v>
      </c>
      <c r="G26" s="3">
        <f t="shared" si="3"/>
        <v>90000</v>
      </c>
      <c r="H26" s="3">
        <f t="shared" si="14"/>
        <v>62500</v>
      </c>
      <c r="I26" s="3">
        <f t="shared" si="4"/>
        <v>18720</v>
      </c>
      <c r="J26" s="3">
        <f t="shared" si="18"/>
        <v>457500</v>
      </c>
      <c r="K26" s="3">
        <f t="shared" si="5"/>
        <v>538720</v>
      </c>
      <c r="L26" s="3">
        <f t="shared" si="6"/>
        <v>5198606.7777788267</v>
      </c>
      <c r="M26" s="3">
        <f>L26*E59</f>
        <v>2235400.9144448955</v>
      </c>
      <c r="N26" s="4">
        <f t="shared" si="7"/>
        <v>7434007.6922237221</v>
      </c>
      <c r="O26" s="3">
        <f>N26*E61</f>
        <v>1360423.407676941</v>
      </c>
      <c r="P26" s="3">
        <f t="shared" si="8"/>
        <v>8794431.0999006629</v>
      </c>
      <c r="Q26" s="3">
        <v>8800000</v>
      </c>
      <c r="R26" s="3">
        <f t="shared" si="9"/>
        <v>223020230.76671165</v>
      </c>
      <c r="S26" s="5">
        <f>R26*T31/1000</f>
        <v>347911.55999607022</v>
      </c>
      <c r="T26" s="6">
        <f t="shared" si="10"/>
        <v>4174938.7199528427</v>
      </c>
      <c r="U26" s="6">
        <f t="shared" si="11"/>
        <v>16104000</v>
      </c>
    </row>
    <row r="27" spans="1:21">
      <c r="A27" s="2">
        <f t="shared" si="12"/>
        <v>2034</v>
      </c>
      <c r="B27" s="3">
        <f t="shared" si="13"/>
        <v>16918.551739842267</v>
      </c>
      <c r="C27" s="3">
        <f t="shared" si="1"/>
        <v>4652601.7284566239</v>
      </c>
      <c r="D27" s="3">
        <f t="shared" si="2"/>
        <v>90000</v>
      </c>
      <c r="G27" s="3">
        <f t="shared" si="3"/>
        <v>90000</v>
      </c>
      <c r="H27" s="3">
        <f t="shared" si="14"/>
        <v>62500</v>
      </c>
      <c r="I27" s="3">
        <f t="shared" si="4"/>
        <v>18720</v>
      </c>
      <c r="J27" s="3">
        <f t="shared" si="18"/>
        <v>457500</v>
      </c>
      <c r="K27" s="3">
        <f t="shared" si="5"/>
        <v>538720</v>
      </c>
      <c r="L27" s="3">
        <f t="shared" si="6"/>
        <v>5281321.7284566239</v>
      </c>
      <c r="M27" s="3">
        <f>L27*E59</f>
        <v>2270968.3432363481</v>
      </c>
      <c r="N27" s="4">
        <f t="shared" si="7"/>
        <v>7552290.0716929715</v>
      </c>
      <c r="O27" s="3">
        <f>N27*E61</f>
        <v>1382069.0831198138</v>
      </c>
      <c r="P27" s="3">
        <f t="shared" si="8"/>
        <v>8934359.1548127849</v>
      </c>
      <c r="Q27" s="3">
        <v>9000000</v>
      </c>
      <c r="R27" s="3">
        <f t="shared" si="9"/>
        <v>226568702.15078914</v>
      </c>
      <c r="S27" s="5">
        <f>R27*T31/1000</f>
        <v>353447.17535523104</v>
      </c>
      <c r="T27" s="6">
        <f t="shared" si="10"/>
        <v>4241366.1042627729</v>
      </c>
      <c r="U27" s="6">
        <f t="shared" si="11"/>
        <v>16470000</v>
      </c>
    </row>
    <row r="28" spans="1:21">
      <c r="A28" s="2">
        <f>A27+1</f>
        <v>2035</v>
      </c>
      <c r="B28" s="3">
        <f t="shared" si="13"/>
        <v>17224.777526333412</v>
      </c>
      <c r="C28" s="3">
        <f t="shared" si="1"/>
        <v>4736813.8197416877</v>
      </c>
      <c r="D28" s="3">
        <f t="shared" si="2"/>
        <v>90000</v>
      </c>
      <c r="G28" s="3">
        <f t="shared" si="3"/>
        <v>90000</v>
      </c>
      <c r="H28" s="3">
        <f t="shared" si="14"/>
        <v>62500</v>
      </c>
      <c r="I28" s="3">
        <f t="shared" si="4"/>
        <v>18720</v>
      </c>
      <c r="J28" s="3">
        <f t="shared" si="18"/>
        <v>457500</v>
      </c>
      <c r="K28" s="3">
        <f t="shared" si="5"/>
        <v>538720</v>
      </c>
      <c r="L28" s="3">
        <f t="shared" si="6"/>
        <v>5365533.8197416877</v>
      </c>
      <c r="M28" s="3">
        <f>L28*E59</f>
        <v>2307179.5424889256</v>
      </c>
      <c r="N28" s="4">
        <f t="shared" si="7"/>
        <v>7672713.3622306138</v>
      </c>
      <c r="O28" s="3">
        <f>N28*E61</f>
        <v>1404106.5452882024</v>
      </c>
      <c r="P28" s="3">
        <f t="shared" si="8"/>
        <v>9076819.9075188152</v>
      </c>
      <c r="Q28" s="3">
        <v>9100000</v>
      </c>
      <c r="R28" s="3">
        <f t="shared" si="9"/>
        <v>230181400.86691841</v>
      </c>
      <c r="S28" s="5">
        <f>R28*T31/1000</f>
        <v>359082.98535239272</v>
      </c>
      <c r="T28" s="6">
        <f t="shared" si="10"/>
        <v>4308995.8242287124</v>
      </c>
      <c r="U28" s="6">
        <f t="shared" si="11"/>
        <v>16653000</v>
      </c>
    </row>
    <row r="30" spans="1:21">
      <c r="P30" s="2" t="s">
        <v>28</v>
      </c>
      <c r="S30" s="6">
        <f>AVERAGE(S4:S28)</f>
        <v>339571.64991202852</v>
      </c>
    </row>
    <row r="31" spans="1:21">
      <c r="T31" s="2">
        <v>1.56</v>
      </c>
    </row>
    <row r="32" spans="1:21">
      <c r="Q32" s="6">
        <f>S30+S32</f>
        <v>406936.64991202852</v>
      </c>
      <c r="S32" s="6">
        <f>E49</f>
        <v>67365</v>
      </c>
    </row>
    <row r="34" spans="1:19">
      <c r="Q34" s="3">
        <v>406937</v>
      </c>
      <c r="S34" s="6">
        <f>S32-S30</f>
        <v>-272206.64991202852</v>
      </c>
    </row>
    <row r="39" spans="1:19">
      <c r="A39" s="2" t="s">
        <v>32</v>
      </c>
      <c r="E39" s="3">
        <v>9800000</v>
      </c>
      <c r="F39" s="2" t="s">
        <v>24</v>
      </c>
    </row>
    <row r="41" spans="1:19">
      <c r="A41" s="2" t="s">
        <v>25</v>
      </c>
      <c r="E41" s="6">
        <f>E39*E63</f>
        <v>17934000</v>
      </c>
    </row>
    <row r="43" spans="1:19">
      <c r="A43" s="2" t="s">
        <v>33</v>
      </c>
      <c r="E43" s="6">
        <v>30000</v>
      </c>
    </row>
    <row r="45" spans="1:19">
      <c r="A45" s="2" t="s">
        <v>23</v>
      </c>
      <c r="E45" s="6">
        <f>(E41+E43)*40*0.045</f>
        <v>32335200</v>
      </c>
    </row>
    <row r="49" spans="1:6">
      <c r="A49" s="2" t="s">
        <v>26</v>
      </c>
      <c r="E49" s="6">
        <f>E45/(40*12)</f>
        <v>67365</v>
      </c>
    </row>
    <row r="51" spans="1:6">
      <c r="A51" s="2" t="s">
        <v>28</v>
      </c>
      <c r="E51" s="6">
        <f>S30</f>
        <v>339571.64991202852</v>
      </c>
    </row>
    <row r="53" spans="1:6">
      <c r="A53" s="2" t="s">
        <v>29</v>
      </c>
      <c r="E53" s="7">
        <f>E56-T31</f>
        <v>0.31000000000000005</v>
      </c>
      <c r="F53" s="8" t="s">
        <v>31</v>
      </c>
    </row>
    <row r="56" spans="1:6">
      <c r="A56" s="2" t="s">
        <v>30</v>
      </c>
      <c r="E56" s="7">
        <v>1.87</v>
      </c>
      <c r="F56" s="8" t="s">
        <v>31</v>
      </c>
    </row>
    <row r="59" spans="1:6">
      <c r="A59" s="2" t="s">
        <v>17</v>
      </c>
      <c r="E59" s="2">
        <v>0.43</v>
      </c>
    </row>
    <row r="61" spans="1:6">
      <c r="A61" s="2" t="s">
        <v>18</v>
      </c>
      <c r="E61" s="9">
        <v>0.183</v>
      </c>
    </row>
    <row r="63" spans="1:6">
      <c r="A63" s="2" t="s">
        <v>19</v>
      </c>
      <c r="E63" s="10">
        <v>1.83</v>
      </c>
    </row>
  </sheetData>
  <pageMargins left="0.32" right="0.24" top="0.59" bottom="0.39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</dc:creator>
  <cp:lastModifiedBy>Dhafer Hashem</cp:lastModifiedBy>
  <cp:lastPrinted>2011-02-16T19:27:52Z</cp:lastPrinted>
  <dcterms:created xsi:type="dcterms:W3CDTF">2011-02-15T18:34:02Z</dcterms:created>
  <dcterms:modified xsi:type="dcterms:W3CDTF">2013-02-07T22:10:39Z</dcterms:modified>
</cp:coreProperties>
</file>