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5480" windowHeight="11640" tabRatio="776" activeTab="6"/>
  </bookViews>
  <sheets>
    <sheet name="BB Cash Flow" sheetId="1" r:id="rId1"/>
    <sheet name="BB Balance sheet" sheetId="2" r:id="rId2"/>
    <sheet name="BB Income Stmt" sheetId="3" r:id="rId3"/>
    <sheet name="FG Cash flow" sheetId="4" r:id="rId4"/>
    <sheet name="FG Balance Sheet" sheetId="5" r:id="rId5"/>
    <sheet name="FG Income stmt" sheetId="6" r:id="rId6"/>
    <sheet name="Ratio Analysis" sheetId="7" r:id="rId7"/>
    <sheet name="Graphs" sheetId="8" r:id="rId8"/>
  </sheets>
  <definedNames/>
  <calcPr fullCalcOnLoad="1"/>
</workbook>
</file>

<file path=xl/sharedStrings.xml><?xml version="1.0" encoding="utf-8"?>
<sst xmlns="http://schemas.openxmlformats.org/spreadsheetml/2006/main" count="324" uniqueCount="217">
  <si>
    <t>Future income taxes (note 12)</t>
  </si>
  <si>
    <t>Liabilities and Shareholders’ Equity</t>
  </si>
  <si>
    <t>Current liabilities:</t>
  </si>
  <si>
    <t>Current portion of long-term debt (note 8)</t>
  </si>
  <si>
    <t>Current portion of obligations under capital leases (note 9)</t>
  </si>
  <si>
    <t xml:space="preserve">Brick Brewing Co. Limited </t>
  </si>
  <si>
    <t>Long-term debt (note 8)</t>
  </si>
  <si>
    <t>Obligations under capital leases (note 9)</t>
  </si>
  <si>
    <t>Shareholders’ equity:</t>
  </si>
  <si>
    <t>Share capital (note 10)</t>
  </si>
  <si>
    <t>Contributed surplus</t>
  </si>
  <si>
    <t>Commitments (note 11)</t>
  </si>
  <si>
    <t>See accompanying notes to consolidated financial statements.</t>
  </si>
  <si>
    <t>Bank indebtedness (note 5)</t>
  </si>
  <si>
    <t>Long-term sales tax payable</t>
  </si>
  <si>
    <t>Total Liabilities</t>
  </si>
  <si>
    <t>Revenue:</t>
  </si>
  <si>
    <t>Gross Revenue</t>
  </si>
  <si>
    <t>Less: Production taxes and distribution fees</t>
  </si>
  <si>
    <t>Net Revenue</t>
  </si>
  <si>
    <t>Cost of goods sold</t>
  </si>
  <si>
    <t>Gross margin</t>
  </si>
  <si>
    <t>Selling, marketing and administration</t>
  </si>
  <si>
    <t>Earnings before the undernoted</t>
  </si>
  <si>
    <t>Other income (expenses):</t>
  </si>
  <si>
    <t>Bottle dispute</t>
  </si>
  <si>
    <t>Other interest income</t>
  </si>
  <si>
    <t>Net earnings before provision for income taxes</t>
  </si>
  <si>
    <t>Future income tax recovery (note 12)</t>
  </si>
  <si>
    <t>Net earnings</t>
  </si>
  <si>
    <t>Deficit, beginning of year</t>
  </si>
  <si>
    <t>Deficit, end of year</t>
  </si>
  <si>
    <t>Net earnings per share (note 16):</t>
  </si>
  <si>
    <t>Basic</t>
  </si>
  <si>
    <t>Diluted</t>
  </si>
  <si>
    <t>Effect of change in accounting policy related to stock based compensation (note 1(a))</t>
  </si>
  <si>
    <t>Return on Investment (ROA)</t>
  </si>
  <si>
    <t>Return on Investment (ROE)</t>
  </si>
  <si>
    <t>Return on Equity of common Stockholder</t>
  </si>
  <si>
    <t>Price/Earnings Ratio</t>
  </si>
  <si>
    <t>Price/Free Cash flow ratio</t>
  </si>
  <si>
    <t>Earnings per Share</t>
  </si>
  <si>
    <t>Dividend Yield Ratio</t>
  </si>
  <si>
    <t>Dividend pay out Ratio</t>
  </si>
  <si>
    <t>Inventory Turnover</t>
  </si>
  <si>
    <t>Num of Days Sales in A/R</t>
  </si>
  <si>
    <t>Asset Turnover</t>
  </si>
  <si>
    <t>Accounts Receivable Turnover</t>
  </si>
  <si>
    <t>Financial Leverage Impact</t>
  </si>
  <si>
    <t>Fixed Asset Turnover</t>
  </si>
  <si>
    <t>Accounts Payable Turnover</t>
  </si>
  <si>
    <t>Average Age of Payables</t>
  </si>
  <si>
    <t>Quality of Income Ratio</t>
  </si>
  <si>
    <t>Capital Acquisition Ratio</t>
  </si>
  <si>
    <t>Liquidity Ratios</t>
  </si>
  <si>
    <t>Current Ratio</t>
  </si>
  <si>
    <t>Quick Ratio</t>
  </si>
  <si>
    <t>Cash Ratio</t>
  </si>
  <si>
    <t>Financial measures (Solvency)</t>
  </si>
  <si>
    <t>Debt to Liabilities &amp; Equity Ratio</t>
  </si>
  <si>
    <t>Times interest earned</t>
  </si>
  <si>
    <t>Cash Coverage Ratio</t>
  </si>
  <si>
    <t>Profitablity</t>
  </si>
  <si>
    <t>Activity (Efficiency measures)</t>
  </si>
  <si>
    <t>Accounts receivable</t>
  </si>
  <si>
    <t>Inventory (Note 3)</t>
  </si>
  <si>
    <t>Total Liablities</t>
  </si>
  <si>
    <t xml:space="preserve">Loss on sale of equipment </t>
  </si>
  <si>
    <t xml:space="preserve">Loss for the year </t>
  </si>
  <si>
    <t xml:space="preserve">Deficit, beginning of year </t>
  </si>
  <si>
    <t xml:space="preserve">Deficit, end of year </t>
  </si>
  <si>
    <t>Loss per share - basic and diluted (note 13)</t>
  </si>
  <si>
    <t>Years ended December 31, 2006, 2005, 2004, 2003 and 2002</t>
  </si>
  <si>
    <t>Write-down of goodwill</t>
  </si>
  <si>
    <t>Balance Sheets</t>
  </si>
  <si>
    <t>Assets</t>
  </si>
  <si>
    <t>Current assets:</t>
  </si>
  <si>
    <t>Cash</t>
  </si>
  <si>
    <t>Prepaid expenses</t>
  </si>
  <si>
    <t>Property and equipment (Note 4)</t>
  </si>
  <si>
    <t>Liabilities</t>
  </si>
  <si>
    <t>Accounts payable and accrued liabilities</t>
  </si>
  <si>
    <t>Current portion of long-term debt</t>
  </si>
  <si>
    <t>Current portion of deferred lease payable</t>
  </si>
  <si>
    <t>Long-term debt (Note 5)</t>
  </si>
  <si>
    <t>Preferred shares (Note 7)</t>
  </si>
  <si>
    <t>Deferred lease payable</t>
  </si>
  <si>
    <t>Shareholders’ equity</t>
  </si>
  <si>
    <t>Common Shares (Note 8)</t>
  </si>
  <si>
    <t>Deficit</t>
  </si>
  <si>
    <t>Contributed Surplus</t>
  </si>
  <si>
    <t>Returnable glass (note 6)</t>
  </si>
  <si>
    <t>Good will</t>
  </si>
  <si>
    <t>Bank indebtedness (note 8)</t>
  </si>
  <si>
    <t>Fort Garry Brewing Compnay Ltd.</t>
  </si>
  <si>
    <t>Years ended December 31, 2006, 2005, 2004, 2003, 2002 and 2001</t>
  </si>
  <si>
    <t>Operating activities:</t>
  </si>
  <si>
    <t>Loss for the year</t>
  </si>
  <si>
    <t>Items not involving cash</t>
  </si>
  <si>
    <t>Future income taxes</t>
  </si>
  <si>
    <t>Loss on sale of equipment</t>
  </si>
  <si>
    <t>Accured dividends and retraction premium on preferred shares</t>
  </si>
  <si>
    <t>Accrued intrest including long-term debt</t>
  </si>
  <si>
    <t>Change in deferred lease payable</t>
  </si>
  <si>
    <t>Accounts recievable</t>
  </si>
  <si>
    <t>Inventory</t>
  </si>
  <si>
    <t>Accounts payable and accured liabilities</t>
  </si>
  <si>
    <t>Financing activities</t>
  </si>
  <si>
    <t>Increase in long-term dept</t>
  </si>
  <si>
    <t>Interest accumulated in long-term debt</t>
  </si>
  <si>
    <t>Payment of long-term debt</t>
  </si>
  <si>
    <t>Accrued dividends and retraction premium on preferred shares</t>
  </si>
  <si>
    <t>Investing activities:</t>
  </si>
  <si>
    <t>Cash on amalgamation</t>
  </si>
  <si>
    <t>Proceeds on sales of equipment</t>
  </si>
  <si>
    <t>Redemption of shares</t>
  </si>
  <si>
    <t>Transaction costs</t>
  </si>
  <si>
    <t>Additions to capital assets</t>
  </si>
  <si>
    <t>Purchases of property and equipment</t>
  </si>
  <si>
    <t>Increase (Decrease) in cash resources</t>
  </si>
  <si>
    <t>Cash resources, beginning of year</t>
  </si>
  <si>
    <t>Cash resources, end of year</t>
  </si>
  <si>
    <t>Supplementary cash flow information:</t>
  </si>
  <si>
    <t>Intereset paid</t>
  </si>
  <si>
    <t>Inventories (note 2)</t>
  </si>
  <si>
    <t>Property, plant and equipment (note 3)</t>
  </si>
  <si>
    <t>Deposits on equipment</t>
  </si>
  <si>
    <t>Long-term investment (note 4)</t>
  </si>
  <si>
    <t>Trademarks and listings fees</t>
  </si>
  <si>
    <t>Deferred costs (note 5)</t>
  </si>
  <si>
    <t>Other assets (note 6)</t>
  </si>
  <si>
    <t>Gain on disposal of fixed assets</t>
  </si>
  <si>
    <t>Equity (loss) earnings on long-term investment</t>
  </si>
  <si>
    <t>Statement of Earnings and Deficit</t>
  </si>
  <si>
    <t>Consolidated Balance Sheets</t>
  </si>
  <si>
    <t>January 31, 2007, 2006, 2005, 2004, 2003 and 2002</t>
  </si>
  <si>
    <t>December 31, 2006, 2005, 2004, 2003 and 2002</t>
  </si>
  <si>
    <t>Current Assets</t>
  </si>
  <si>
    <t>Current Liabilities</t>
  </si>
  <si>
    <t>Revenue</t>
  </si>
  <si>
    <t>Dividends and retraction premium accrued on preferred shares</t>
  </si>
  <si>
    <t>Statements of Cash Flows</t>
  </si>
  <si>
    <t>Years ended January 31, 2007, 2006, 2005, 2004, 2003 and 2002</t>
  </si>
  <si>
    <t>Cash provided by (used in):</t>
  </si>
  <si>
    <t>Operations</t>
  </si>
  <si>
    <t>Net earnings (loss)</t>
  </si>
  <si>
    <t>Items not involving cash:</t>
  </si>
  <si>
    <t>Amortization</t>
  </si>
  <si>
    <t>Gain on disposal of trademarks</t>
  </si>
  <si>
    <t>Change in non-cash operating working capital:</t>
  </si>
  <si>
    <t>Financing</t>
  </si>
  <si>
    <t>Decrease in bank indebtedness</t>
  </si>
  <si>
    <t>Investments</t>
  </si>
  <si>
    <t>Proceeds on disposal of trademarks</t>
  </si>
  <si>
    <t>Shares issued for services</t>
  </si>
  <si>
    <t>Proceeds from mortgages</t>
  </si>
  <si>
    <t>Financing costs</t>
  </si>
  <si>
    <t>Issue of capital stock</t>
  </si>
  <si>
    <t>Supplemental cash flow information:</t>
  </si>
  <si>
    <t>Cash paid for interest</t>
  </si>
  <si>
    <t>Purchase of property, plant and equipment and listing fees</t>
  </si>
  <si>
    <t>Repayment of long-term debt</t>
  </si>
  <si>
    <t>Repayment of long-term sales tax payable</t>
  </si>
  <si>
    <t>Issuance of long-term debt</t>
  </si>
  <si>
    <t>Repayment of obligations under captital lease</t>
  </si>
  <si>
    <t>Equipment deposits</t>
  </si>
  <si>
    <t>Purchase of investments in marketable securities</t>
  </si>
  <si>
    <t>Non-cash investing and financing activities:</t>
  </si>
  <si>
    <t>Acquisition of equipment through capital leases</t>
  </si>
  <si>
    <t>Stock-based compensation</t>
  </si>
  <si>
    <t>Equity earnings on long-term investments</t>
  </si>
  <si>
    <t>Recovery of future income taxes</t>
  </si>
  <si>
    <t>Proceeds from sale of bottle inventory</t>
  </si>
  <si>
    <t>Pre-operating costs</t>
  </si>
  <si>
    <t>Purchase of other assets</t>
  </si>
  <si>
    <t>Purchase of long-term investments</t>
  </si>
  <si>
    <t>Cash, beginning of year</t>
  </si>
  <si>
    <t>Cash, end of year</t>
  </si>
  <si>
    <t>Proceeds from obligations under capital lease</t>
  </si>
  <si>
    <t>Increase (Decrease) in cash</t>
  </si>
  <si>
    <t>FORT GARRY BREWING COMPANY LTD.</t>
  </si>
  <si>
    <t>Statements of Operations and Deficit</t>
  </si>
  <si>
    <t xml:space="preserve">Sales </t>
  </si>
  <si>
    <t>Excise duty</t>
  </si>
  <si>
    <t xml:space="preserve">Cost of sales </t>
  </si>
  <si>
    <t xml:space="preserve">Gross profit </t>
  </si>
  <si>
    <t xml:space="preserve">Selling, general and administration </t>
  </si>
  <si>
    <t xml:space="preserve">Other income </t>
  </si>
  <si>
    <t>Income (loss) before the undernoted</t>
  </si>
  <si>
    <t>Interest on long-term debt</t>
  </si>
  <si>
    <t xml:space="preserve">Amortization  </t>
  </si>
  <si>
    <t>N/A</t>
  </si>
  <si>
    <t>Return on Investment</t>
  </si>
  <si>
    <t xml:space="preserve"> </t>
  </si>
  <si>
    <t>ROE</t>
  </si>
  <si>
    <t>Brick Brewing</t>
  </si>
  <si>
    <t>Fort Gary Brewing</t>
  </si>
  <si>
    <t>Price Earning Ratio</t>
  </si>
  <si>
    <t>Industry</t>
  </si>
  <si>
    <t>Return On Assets - 5 Yr. Avg.</t>
  </si>
  <si>
    <t>Return On Equity - 5 Yr. Avg.</t>
  </si>
  <si>
    <t>P/E Ratio (TTM)</t>
  </si>
  <si>
    <t>P/E High - Last 5 Yrs.</t>
  </si>
  <si>
    <t>Price to Free Cash Flow (TTM)</t>
  </si>
  <si>
    <t>P/E Low - Last 5 Yrs.</t>
  </si>
  <si>
    <t>EPS - 5 Yr. Growth Rate</t>
  </si>
  <si>
    <t>Dividend Yield - 5 Year Avg.</t>
  </si>
  <si>
    <t>Payout Ratio (TTM)</t>
  </si>
  <si>
    <t>Inventory Turnover (TTM)</t>
  </si>
  <si>
    <t>Receivable Turnover (TTM)</t>
  </si>
  <si>
    <t>Asset Turnover (TTM)</t>
  </si>
  <si>
    <t>Current Ratio (MRQ)</t>
  </si>
  <si>
    <t>Quick Ratio (MRQ)</t>
  </si>
  <si>
    <t>Total Debt to Equity (MRQ)</t>
  </si>
  <si>
    <t>Interest Coverage (TTM)</t>
  </si>
  <si>
    <t>5 Year Avg</t>
  </si>
  <si>
    <t>3 Year Avg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</si>
</sst>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&quot;$&quot;#,##0.00"/>
    <numFmt numFmtId="176" formatCode="&quot;$&quot;#,##0.0"/>
    <numFmt numFmtId="177" formatCode="&quot;$&quot;#,##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Arial"/>
      <family val="0"/>
    </font>
    <font>
      <sz val="10"/>
      <color indexed="8"/>
      <name val="Arial Bold"/>
      <family val="0"/>
    </font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4"/>
      <name val="Helv"/>
      <family val="0"/>
    </font>
    <font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sz val="10"/>
      <color indexed="10"/>
      <name val="Helv"/>
      <family val="0"/>
    </font>
    <font>
      <sz val="9"/>
      <color indexed="8"/>
      <name val="Helv"/>
      <family val="0"/>
    </font>
    <font>
      <sz val="10"/>
      <color indexed="63"/>
      <name val="Helv"/>
      <family val="0"/>
    </font>
    <font>
      <b/>
      <sz val="10"/>
      <color indexed="63"/>
      <name val="Helv"/>
      <family val="0"/>
    </font>
    <font>
      <b/>
      <sz val="10"/>
      <name val="Helv"/>
      <family val="0"/>
    </font>
    <font>
      <b/>
      <sz val="12"/>
      <color indexed="8"/>
      <name val="Helv"/>
      <family val="0"/>
    </font>
    <font>
      <b/>
      <sz val="12"/>
      <name val="Helv"/>
      <family val="0"/>
    </font>
    <font>
      <b/>
      <sz val="10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b/>
      <sz val="10"/>
      <color indexed="9"/>
      <name val="Calibri"/>
      <family val="0"/>
    </font>
    <font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ont="1" applyFill="1" applyAlignment="1">
      <alignment/>
    </xf>
    <xf numFmtId="174" fontId="0" fillId="34" borderId="0" xfId="0" applyNumberFormat="1" applyFill="1" applyAlignment="1">
      <alignment/>
    </xf>
    <xf numFmtId="0" fontId="1" fillId="33" borderId="0" xfId="0" applyFont="1" applyFill="1" applyAlignment="1">
      <alignment/>
    </xf>
    <xf numFmtId="174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0" xfId="0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0" fontId="11" fillId="0" borderId="0" xfId="44" applyFont="1" applyAlignment="1">
      <alignment/>
    </xf>
    <xf numFmtId="0" fontId="11" fillId="0" borderId="12" xfId="0" applyFont="1" applyBorder="1" applyAlignment="1">
      <alignment/>
    </xf>
    <xf numFmtId="168" fontId="11" fillId="0" borderId="12" xfId="45" applyFont="1" applyBorder="1" applyAlignment="1">
      <alignment/>
    </xf>
    <xf numFmtId="168" fontId="11" fillId="0" borderId="0" xfId="45" applyFont="1" applyBorder="1" applyAlignment="1">
      <alignment/>
    </xf>
    <xf numFmtId="168" fontId="11" fillId="0" borderId="0" xfId="45" applyFont="1" applyAlignment="1">
      <alignment/>
    </xf>
    <xf numFmtId="168" fontId="11" fillId="0" borderId="10" xfId="45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8" fontId="12" fillId="0" borderId="0" xfId="45" applyFont="1" applyAlignment="1">
      <alignment/>
    </xf>
    <xf numFmtId="168" fontId="12" fillId="0" borderId="0" xfId="45" applyFont="1" applyAlignment="1">
      <alignment horizontal="center"/>
    </xf>
    <xf numFmtId="168" fontId="12" fillId="0" borderId="0" xfId="45" applyFont="1" applyFill="1" applyAlignment="1">
      <alignment horizontal="center"/>
    </xf>
    <xf numFmtId="165" fontId="12" fillId="0" borderId="0" xfId="0" applyNumberFormat="1" applyFont="1" applyAlignment="1">
      <alignment/>
    </xf>
    <xf numFmtId="49" fontId="12" fillId="0" borderId="12" xfId="0" applyNumberFormat="1" applyFont="1" applyBorder="1" applyAlignment="1">
      <alignment/>
    </xf>
    <xf numFmtId="168" fontId="12" fillId="0" borderId="12" xfId="45" applyFont="1" applyBorder="1" applyAlignment="1">
      <alignment/>
    </xf>
    <xf numFmtId="168" fontId="12" fillId="0" borderId="12" xfId="45" applyFont="1" applyBorder="1" applyAlignment="1">
      <alignment horizontal="center"/>
    </xf>
    <xf numFmtId="168" fontId="12" fillId="0" borderId="12" xfId="45" applyFont="1" applyFill="1" applyBorder="1" applyAlignment="1">
      <alignment horizontal="center"/>
    </xf>
    <xf numFmtId="37" fontId="12" fillId="0" borderId="0" xfId="0" applyNumberFormat="1" applyFont="1" applyAlignment="1">
      <alignment/>
    </xf>
    <xf numFmtId="168" fontId="13" fillId="0" borderId="0" xfId="45" applyFont="1" applyBorder="1" applyAlignment="1">
      <alignment/>
    </xf>
    <xf numFmtId="3" fontId="12" fillId="0" borderId="0" xfId="0" applyNumberFormat="1" applyFont="1" applyAlignment="1">
      <alignment/>
    </xf>
    <xf numFmtId="49" fontId="12" fillId="0" borderId="0" xfId="0" applyNumberFormat="1" applyFont="1" applyBorder="1" applyAlignment="1">
      <alignment/>
    </xf>
    <xf numFmtId="168" fontId="12" fillId="0" borderId="0" xfId="45" applyFont="1" applyBorder="1" applyAlignment="1">
      <alignment/>
    </xf>
    <xf numFmtId="168" fontId="12" fillId="0" borderId="0" xfId="45" applyFont="1" applyBorder="1" applyAlignment="1">
      <alignment horizontal="center"/>
    </xf>
    <xf numFmtId="168" fontId="12" fillId="0" borderId="0" xfId="45" applyFont="1" applyFill="1" applyBorder="1" applyAlignment="1">
      <alignment horizontal="center"/>
    </xf>
    <xf numFmtId="168" fontId="13" fillId="0" borderId="0" xfId="45" applyFont="1" applyAlignment="1">
      <alignment/>
    </xf>
    <xf numFmtId="168" fontId="11" fillId="0" borderId="0" xfId="45" applyFont="1" applyAlignment="1">
      <alignment horizontal="center"/>
    </xf>
    <xf numFmtId="168" fontId="11" fillId="0" borderId="0" xfId="45" applyFont="1" applyFill="1" applyAlignment="1">
      <alignment horizontal="center"/>
    </xf>
    <xf numFmtId="0" fontId="11" fillId="0" borderId="13" xfId="0" applyFont="1" applyBorder="1" applyAlignment="1">
      <alignment/>
    </xf>
    <xf numFmtId="49" fontId="12" fillId="0" borderId="13" xfId="0" applyNumberFormat="1" applyFont="1" applyBorder="1" applyAlignment="1">
      <alignment/>
    </xf>
    <xf numFmtId="168" fontId="12" fillId="0" borderId="13" xfId="45" applyFont="1" applyBorder="1" applyAlignment="1">
      <alignment/>
    </xf>
    <xf numFmtId="0" fontId="12" fillId="0" borderId="0" xfId="0" applyFont="1" applyAlignment="1">
      <alignment/>
    </xf>
    <xf numFmtId="49" fontId="12" fillId="0" borderId="14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170" fontId="12" fillId="0" borderId="0" xfId="0" applyNumberFormat="1" applyFont="1" applyAlignment="1">
      <alignment/>
    </xf>
    <xf numFmtId="170" fontId="12" fillId="0" borderId="0" xfId="0" applyNumberFormat="1" applyFont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70" fontId="12" fillId="0" borderId="10" xfId="0" applyNumberFormat="1" applyFont="1" applyBorder="1" applyAlignment="1">
      <alignment/>
    </xf>
    <xf numFmtId="170" fontId="12" fillId="0" borderId="10" xfId="0" applyNumberFormat="1" applyFont="1" applyBorder="1" applyAlignment="1">
      <alignment horizontal="center"/>
    </xf>
    <xf numFmtId="170" fontId="12" fillId="0" borderId="10" xfId="0" applyNumberFormat="1" applyFont="1" applyFill="1" applyBorder="1" applyAlignment="1">
      <alignment horizontal="center"/>
    </xf>
    <xf numFmtId="165" fontId="11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168" fontId="13" fillId="0" borderId="0" xfId="45" applyFont="1" applyAlignment="1">
      <alignment horizontal="center"/>
    </xf>
    <xf numFmtId="168" fontId="18" fillId="0" borderId="0" xfId="45" applyFont="1" applyAlignment="1">
      <alignment horizontal="center"/>
    </xf>
    <xf numFmtId="168" fontId="5" fillId="0" borderId="0" xfId="45" applyFont="1" applyAlignment="1">
      <alignment/>
    </xf>
    <xf numFmtId="168" fontId="18" fillId="0" borderId="0" xfId="45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68" fontId="13" fillId="0" borderId="12" xfId="45" applyFont="1" applyBorder="1" applyAlignment="1">
      <alignment horizontal="center"/>
    </xf>
    <xf numFmtId="0" fontId="11" fillId="0" borderId="0" xfId="0" applyFont="1" applyBorder="1" applyAlignment="1">
      <alignment/>
    </xf>
    <xf numFmtId="168" fontId="18" fillId="0" borderId="0" xfId="45" applyFont="1" applyBorder="1" applyAlignment="1">
      <alignment/>
    </xf>
    <xf numFmtId="168" fontId="13" fillId="0" borderId="0" xfId="45" applyFont="1" applyBorder="1" applyAlignment="1">
      <alignment horizontal="center"/>
    </xf>
    <xf numFmtId="168" fontId="17" fillId="0" borderId="0" xfId="45" applyFont="1" applyBorder="1" applyAlignment="1">
      <alignment horizontal="center"/>
    </xf>
    <xf numFmtId="0" fontId="11" fillId="0" borderId="14" xfId="0" applyFont="1" applyBorder="1" applyAlignment="1">
      <alignment/>
    </xf>
    <xf numFmtId="168" fontId="18" fillId="0" borderId="14" xfId="45" applyFont="1" applyBorder="1" applyAlignment="1">
      <alignment/>
    </xf>
    <xf numFmtId="168" fontId="13" fillId="0" borderId="14" xfId="45" applyFont="1" applyBorder="1" applyAlignment="1">
      <alignment horizontal="center"/>
    </xf>
    <xf numFmtId="168" fontId="11" fillId="0" borderId="12" xfId="45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168" fontId="18" fillId="0" borderId="10" xfId="45" applyFont="1" applyBorder="1" applyAlignment="1">
      <alignment/>
    </xf>
    <xf numFmtId="168" fontId="13" fillId="0" borderId="10" xfId="45" applyFont="1" applyBorder="1" applyAlignment="1">
      <alignment horizontal="center"/>
    </xf>
    <xf numFmtId="168" fontId="16" fillId="0" borderId="12" xfId="45" applyFont="1" applyBorder="1" applyAlignment="1">
      <alignment horizontal="center"/>
    </xf>
    <xf numFmtId="49" fontId="16" fillId="0" borderId="12" xfId="0" applyNumberFormat="1" applyFont="1" applyBorder="1" applyAlignment="1">
      <alignment/>
    </xf>
    <xf numFmtId="168" fontId="5" fillId="0" borderId="12" xfId="45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1" fontId="12" fillId="0" borderId="11" xfId="0" applyNumberFormat="1" applyFont="1" applyBorder="1" applyAlignment="1">
      <alignment horizontal="left"/>
    </xf>
    <xf numFmtId="168" fontId="11" fillId="0" borderId="0" xfId="45" applyFont="1" applyAlignment="1">
      <alignment horizontal="left"/>
    </xf>
    <xf numFmtId="168" fontId="11" fillId="0" borderId="0" xfId="45" applyFont="1" applyBorder="1" applyAlignment="1">
      <alignment horizontal="center"/>
    </xf>
    <xf numFmtId="168" fontId="16" fillId="0" borderId="0" xfId="45" applyFont="1" applyBorder="1" applyAlignment="1">
      <alignment horizontal="center"/>
    </xf>
    <xf numFmtId="0" fontId="11" fillId="0" borderId="14" xfId="0" applyFont="1" applyBorder="1" applyAlignment="1">
      <alignment/>
    </xf>
    <xf numFmtId="2" fontId="11" fillId="0" borderId="0" xfId="45" applyNumberFormat="1" applyFont="1" applyBorder="1" applyAlignment="1">
      <alignment horizontal="left"/>
    </xf>
    <xf numFmtId="2" fontId="11" fillId="0" borderId="12" xfId="45" applyNumberFormat="1" applyFont="1" applyBorder="1" applyAlignment="1">
      <alignment horizontal="left"/>
    </xf>
    <xf numFmtId="2" fontId="11" fillId="0" borderId="10" xfId="45" applyNumberFormat="1" applyFont="1" applyBorder="1" applyAlignment="1">
      <alignment horizontal="left"/>
    </xf>
    <xf numFmtId="2" fontId="11" fillId="0" borderId="14" xfId="45" applyNumberFormat="1" applyFont="1" applyBorder="1" applyAlignment="1">
      <alignment horizontal="left"/>
    </xf>
    <xf numFmtId="2" fontId="12" fillId="0" borderId="0" xfId="45" applyNumberFormat="1" applyFont="1" applyAlignment="1">
      <alignment horizontal="left"/>
    </xf>
    <xf numFmtId="2" fontId="12" fillId="0" borderId="14" xfId="45" applyNumberFormat="1" applyFont="1" applyBorder="1" applyAlignment="1">
      <alignment horizontal="left"/>
    </xf>
    <xf numFmtId="2" fontId="12" fillId="0" borderId="0" xfId="45" applyNumberFormat="1" applyFont="1" applyBorder="1" applyAlignment="1">
      <alignment horizontal="left"/>
    </xf>
    <xf numFmtId="2" fontId="12" fillId="0" borderId="12" xfId="45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68" fontId="13" fillId="0" borderId="14" xfId="45" applyFont="1" applyBorder="1" applyAlignment="1">
      <alignment/>
    </xf>
    <xf numFmtId="2" fontId="12" fillId="0" borderId="13" xfId="45" applyNumberFormat="1" applyFont="1" applyBorder="1" applyAlignment="1">
      <alignment horizontal="left"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1" fillId="0" borderId="10" xfId="58" applyFont="1" applyBorder="1">
      <alignment/>
      <protection/>
    </xf>
    <xf numFmtId="0" fontId="11" fillId="0" borderId="11" xfId="58" applyFont="1" applyBorder="1">
      <alignment/>
      <protection/>
    </xf>
    <xf numFmtId="0" fontId="11" fillId="0" borderId="0" xfId="58" applyFont="1" applyBorder="1">
      <alignment/>
      <protection/>
    </xf>
    <xf numFmtId="0" fontId="11" fillId="0" borderId="0" xfId="58" applyFont="1" applyFill="1" applyBorder="1">
      <alignment/>
      <protection/>
    </xf>
    <xf numFmtId="0" fontId="11" fillId="0" borderId="12" xfId="58" applyFont="1" applyBorder="1">
      <alignment/>
      <protection/>
    </xf>
    <xf numFmtId="49" fontId="19" fillId="0" borderId="0" xfId="0" applyNumberFormat="1" applyFont="1" applyAlignment="1">
      <alignment/>
    </xf>
    <xf numFmtId="1" fontId="13" fillId="0" borderId="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8" fontId="11" fillId="0" borderId="14" xfId="45" applyFont="1" applyBorder="1" applyAlignment="1">
      <alignment horizontal="center"/>
    </xf>
    <xf numFmtId="168" fontId="11" fillId="0" borderId="14" xfId="45" applyFont="1" applyBorder="1" applyAlignment="1">
      <alignment/>
    </xf>
    <xf numFmtId="168" fontId="5" fillId="0" borderId="0" xfId="45" applyFont="1" applyBorder="1" applyAlignment="1">
      <alignment/>
    </xf>
    <xf numFmtId="168" fontId="12" fillId="0" borderId="12" xfId="45" applyFont="1" applyBorder="1" applyAlignment="1">
      <alignment horizontal="left"/>
    </xf>
    <xf numFmtId="0" fontId="18" fillId="0" borderId="10" xfId="0" applyFont="1" applyBorder="1" applyAlignment="1">
      <alignment/>
    </xf>
    <xf numFmtId="0" fontId="18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" fontId="12" fillId="0" borderId="10" xfId="45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/>
    </xf>
    <xf numFmtId="165" fontId="11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8" fontId="18" fillId="0" borderId="14" xfId="45" applyFont="1" applyBorder="1" applyAlignment="1">
      <alignment horizontal="center"/>
    </xf>
    <xf numFmtId="168" fontId="18" fillId="0" borderId="0" xfId="45" applyFont="1" applyBorder="1" applyAlignment="1">
      <alignment horizontal="center"/>
    </xf>
    <xf numFmtId="0" fontId="11" fillId="0" borderId="15" xfId="0" applyFont="1" applyBorder="1" applyAlignment="1">
      <alignment/>
    </xf>
    <xf numFmtId="168" fontId="21" fillId="0" borderId="10" xfId="45" applyFont="1" applyBorder="1" applyAlignment="1">
      <alignment horizontal="center"/>
    </xf>
    <xf numFmtId="168" fontId="21" fillId="0" borderId="14" xfId="45" applyFont="1" applyBorder="1" applyAlignment="1">
      <alignment/>
    </xf>
    <xf numFmtId="168" fontId="21" fillId="0" borderId="10" xfId="45" applyFont="1" applyBorder="1" applyAlignment="1">
      <alignment/>
    </xf>
    <xf numFmtId="0" fontId="11" fillId="0" borderId="14" xfId="58" applyFont="1" applyBorder="1">
      <alignment/>
      <protection/>
    </xf>
    <xf numFmtId="168" fontId="21" fillId="0" borderId="10" xfId="45" applyFont="1" applyBorder="1" applyAlignment="1">
      <alignment/>
    </xf>
    <xf numFmtId="168" fontId="21" fillId="0" borderId="0" xfId="45" applyFont="1" applyBorder="1" applyAlignment="1">
      <alignment/>
    </xf>
    <xf numFmtId="168" fontId="21" fillId="0" borderId="14" xfId="45" applyFont="1" applyBorder="1" applyAlignment="1">
      <alignment horizontal="center"/>
    </xf>
    <xf numFmtId="170" fontId="21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2" fontId="11" fillId="0" borderId="0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left"/>
    </xf>
    <xf numFmtId="2" fontId="11" fillId="0" borderId="12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left"/>
    </xf>
    <xf numFmtId="168" fontId="21" fillId="0" borderId="10" xfId="45" applyFont="1" applyBorder="1" applyAlignment="1">
      <alignment horizontal="left"/>
    </xf>
    <xf numFmtId="170" fontId="21" fillId="0" borderId="15" xfId="0" applyNumberFormat="1" applyFont="1" applyBorder="1" applyAlignment="1">
      <alignment horizontal="left"/>
    </xf>
    <xf numFmtId="165" fontId="11" fillId="0" borderId="0" xfId="0" applyNumberFormat="1" applyFont="1" applyAlignment="1">
      <alignment horizontal="left"/>
    </xf>
    <xf numFmtId="2" fontId="18" fillId="0" borderId="0" xfId="0" applyNumberFormat="1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0" fontId="14" fillId="0" borderId="1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2" fontId="0" fillId="33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6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16" borderId="0" xfId="0" applyFill="1" applyAlignment="1">
      <alignment/>
    </xf>
    <xf numFmtId="0" fontId="1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Return on Investment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95625"/>
          <c:h val="0.66425"/>
        </c:manualLayout>
      </c:layout>
      <c:barChart>
        <c:barDir val="col"/>
        <c:grouping val="clustered"/>
        <c:varyColors val="0"/>
        <c:ser>
          <c:idx val="0"/>
          <c:order val="0"/>
          <c:tx>
            <c:v>Brick Brewing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Graphs!$C$3:$G$4</c:f>
              <c:multiLvlStrCache/>
            </c:multiLvlStrRef>
          </c:cat>
          <c:val>
            <c:numRef>
              <c:f>Graphs!$C$5:$G$5</c:f>
              <c:numCache/>
            </c:numRef>
          </c:val>
        </c:ser>
        <c:ser>
          <c:idx val="1"/>
          <c:order val="1"/>
          <c:tx>
            <c:v>Fort Gary Brewing</c:v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Graphs!$C$3:$G$4</c:f>
              <c:multiLvlStrCache/>
            </c:multiLvlStrRef>
          </c:cat>
          <c:val>
            <c:numRef>
              <c:f>Graphs!$C$6:$G$6</c:f>
              <c:numCache/>
            </c:numRef>
          </c:val>
        </c:ser>
        <c:overlap val="-25"/>
        <c:gapWidth val="75"/>
        <c:axId val="14668922"/>
        <c:axId val="64911435"/>
      </c:bar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6892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2"/>
          <c:y val="0.896"/>
          <c:w val="0.511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Asset Turnover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154"/>
          <c:w val="0.932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Graphs!$B$205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Graphs!$C$204:$G$204</c:f>
              <c:numCache/>
            </c:numRef>
          </c:cat>
          <c:val>
            <c:numRef>
              <c:f>Graphs!$C$205:$G$205</c:f>
              <c:numCache/>
            </c:numRef>
          </c:val>
        </c:ser>
        <c:ser>
          <c:idx val="1"/>
          <c:order val="1"/>
          <c:tx>
            <c:strRef>
              <c:f>Graphs!$B$206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Graphs!$C$204:$G$204</c:f>
              <c:numCache/>
            </c:numRef>
          </c:cat>
          <c:val>
            <c:numRef>
              <c:f>Graphs!$C$206:$G$206</c:f>
              <c:numCache/>
            </c:numRef>
          </c:val>
        </c:ser>
        <c:axId val="27200628"/>
        <c:axId val="43479061"/>
      </c:barChart>
      <c:catAx>
        <c:axId val="27200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479061"/>
        <c:crosses val="autoZero"/>
        <c:auto val="1"/>
        <c:lblOffset val="100"/>
        <c:tickLblSkip val="1"/>
        <c:noMultiLvlLbl val="0"/>
      </c:catAx>
      <c:valAx>
        <c:axId val="43479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125"/>
          <c:y val="0.8315"/>
          <c:w val="0.6285"/>
          <c:h val="0.1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Fixed Asset Turnover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68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Graphs!$B$227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Graphs!$C$226:$G$226</c:f>
              <c:numCache/>
            </c:numRef>
          </c:cat>
          <c:val>
            <c:numRef>
              <c:f>Graphs!$C$227:$G$227</c:f>
              <c:numCache/>
            </c:numRef>
          </c:val>
        </c:ser>
        <c:ser>
          <c:idx val="1"/>
          <c:order val="1"/>
          <c:tx>
            <c:strRef>
              <c:f>Graphs!$B$228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Graphs!$C$226:$G$226</c:f>
              <c:numCache/>
            </c:numRef>
          </c:cat>
          <c:val>
            <c:numRef>
              <c:f>Graphs!$C$228:$G$228</c:f>
              <c:numCache/>
            </c:numRef>
          </c:val>
        </c:ser>
        <c:axId val="55767230"/>
        <c:axId val="32143023"/>
      </c:barChart>
      <c:catAx>
        <c:axId val="557672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23"/>
        <c:crosses val="autoZero"/>
        <c:auto val="1"/>
        <c:lblOffset val="100"/>
        <c:tickLblSkip val="1"/>
        <c:noMultiLvlLbl val="0"/>
      </c:catAx>
      <c:valAx>
        <c:axId val="321430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825"/>
          <c:y val="0.8135"/>
          <c:w val="0.76225"/>
          <c:h val="0.14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Accounts Payable Turnover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775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Graphs!$B$248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Graphs!$C$247:$G$247</c:f>
              <c:numCache/>
            </c:numRef>
          </c:cat>
          <c:val>
            <c:numRef>
              <c:f>Graphs!$C$248:$G$248</c:f>
              <c:numCache/>
            </c:numRef>
          </c:val>
        </c:ser>
        <c:ser>
          <c:idx val="1"/>
          <c:order val="1"/>
          <c:tx>
            <c:strRef>
              <c:f>Graphs!$B$249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Graphs!$C$247:$G$247</c:f>
              <c:numCache/>
            </c:numRef>
          </c:cat>
          <c:val>
            <c:numRef>
              <c:f>Graphs!$C$249:$G$249</c:f>
              <c:numCache/>
            </c:numRef>
          </c:val>
        </c:ser>
        <c:axId val="20851752"/>
        <c:axId val="53448041"/>
      </c:barChart>
      <c:catAx>
        <c:axId val="20851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448041"/>
        <c:crosses val="autoZero"/>
        <c:auto val="1"/>
        <c:lblOffset val="100"/>
        <c:tickLblSkip val="1"/>
        <c:noMultiLvlLbl val="0"/>
      </c:catAx>
      <c:valAx>
        <c:axId val="53448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175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785"/>
          <c:w val="0.603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Average Age Of Payables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63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Graphs!$B$270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Graphs!$C$269:$G$269</c:f>
              <c:numCache/>
            </c:numRef>
          </c:cat>
          <c:val>
            <c:numRef>
              <c:f>Graphs!$C$270:$G$270</c:f>
              <c:numCache/>
            </c:numRef>
          </c:val>
        </c:ser>
        <c:ser>
          <c:idx val="1"/>
          <c:order val="1"/>
          <c:tx>
            <c:strRef>
              <c:f>Graphs!$B$271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Graphs!$C$269:$G$269</c:f>
              <c:numCache/>
            </c:numRef>
          </c:cat>
          <c:val>
            <c:numRef>
              <c:f>Graphs!$C$271:$G$271</c:f>
              <c:numCache/>
            </c:numRef>
          </c:val>
        </c:ser>
        <c:axId val="11270322"/>
        <c:axId val="34324035"/>
      </c:bar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32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25"/>
          <c:y val="0.85675"/>
          <c:w val="0.668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Quality of Income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54"/>
          <c:w val="0.963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Graphs!$B$292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Graphs!$C$291:$G$291</c:f>
              <c:numCache/>
            </c:numRef>
          </c:cat>
          <c:val>
            <c:numRef>
              <c:f>Graphs!$C$292:$G$292</c:f>
              <c:numCache/>
            </c:numRef>
          </c:val>
        </c:ser>
        <c:ser>
          <c:idx val="1"/>
          <c:order val="1"/>
          <c:tx>
            <c:strRef>
              <c:f>Graphs!$B$293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Graphs!$C$291:$G$291</c:f>
              <c:numCache/>
            </c:numRef>
          </c:cat>
          <c:val>
            <c:numRef>
              <c:f>Graphs!$C$293:$G$293</c:f>
              <c:numCache/>
            </c:numRef>
          </c:val>
        </c:ser>
        <c:axId val="40480860"/>
        <c:axId val="28783421"/>
      </c:bar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175"/>
          <c:y val="0.80275"/>
          <c:w val="0.659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Current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61"/>
          <c:h val="0.6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Graphs!$B$314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Graphs!$C$313:$G$313</c:f>
              <c:numCache/>
            </c:numRef>
          </c:cat>
          <c:val>
            <c:numRef>
              <c:f>Graphs!$C$314:$G$314</c:f>
              <c:numCache/>
            </c:numRef>
          </c:val>
        </c:ser>
        <c:ser>
          <c:idx val="1"/>
          <c:order val="1"/>
          <c:tx>
            <c:strRef>
              <c:f>Graphs!$B$315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Graphs!$C$313:$G$313</c:f>
              <c:numCache/>
            </c:numRef>
          </c:cat>
          <c:val>
            <c:numRef>
              <c:f>Graphs!$C$315:$G$315</c:f>
              <c:numCache/>
            </c:numRef>
          </c:val>
        </c:ser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"/>
          <c:y val="0.853"/>
          <c:w val="0.7282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Quick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59"/>
          <c:w val="0.989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Graphs!$B$336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Graphs!$C$336:$G$336</c:f>
              <c:numCache/>
            </c:numRef>
          </c:val>
        </c:ser>
        <c:ser>
          <c:idx val="1"/>
          <c:order val="1"/>
          <c:tx>
            <c:strRef>
              <c:f>Graphs!$B$337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Graphs!$C$337:$G$337</c:f>
              <c:numCache/>
            </c:numRef>
          </c:val>
        </c:ser>
        <c:axId val="45148432"/>
        <c:axId val="3682705"/>
      </c:barChart>
      <c:catAx>
        <c:axId val="45148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05"/>
        <c:crosses val="autoZero"/>
        <c:auto val="1"/>
        <c:lblOffset val="100"/>
        <c:tickLblSkip val="1"/>
        <c:noMultiLvlLbl val="0"/>
      </c:catAx>
      <c:valAx>
        <c:axId val="36827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"/>
          <c:y val="0.82975"/>
          <c:w val="0.690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Cash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54"/>
          <c:w val="0.96775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Graphs!$B$357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Graphs!$C$356:$G$356</c:f>
              <c:numCache/>
            </c:numRef>
          </c:cat>
          <c:val>
            <c:numRef>
              <c:f>Graphs!$C$357:$G$357</c:f>
              <c:numCache/>
            </c:numRef>
          </c:val>
        </c:ser>
        <c:ser>
          <c:idx val="1"/>
          <c:order val="1"/>
          <c:tx>
            <c:strRef>
              <c:f>Graphs!$B$358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Graphs!$C$356:$G$356</c:f>
              <c:numCache/>
            </c:numRef>
          </c:cat>
          <c:val>
            <c:numRef>
              <c:f>Graphs!$C$358:$G$358</c:f>
              <c:numCache/>
            </c:numRef>
          </c:val>
        </c:ser>
        <c:axId val="33144346"/>
        <c:axId val="29863659"/>
      </c:barChart>
      <c:catAx>
        <c:axId val="33144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63659"/>
        <c:crosses val="autoZero"/>
        <c:auto val="1"/>
        <c:lblOffset val="100"/>
        <c:tickLblSkip val="1"/>
        <c:noMultiLvlLbl val="0"/>
      </c:catAx>
      <c:valAx>
        <c:axId val="29863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4434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82425"/>
          <c:w val="0.62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Debt to Liabilities &amp; Equity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5525"/>
          <c:h val="0.7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Graphs!$B$378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Graphs!$C$377:$G$377</c:f>
              <c:numCache/>
            </c:numRef>
          </c:cat>
          <c:val>
            <c:numRef>
              <c:f>Graphs!$C$378:$G$378</c:f>
              <c:numCache/>
            </c:numRef>
          </c:val>
        </c:ser>
        <c:ser>
          <c:idx val="1"/>
          <c:order val="1"/>
          <c:tx>
            <c:strRef>
              <c:f>Graphs!$B$379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Graphs!$C$377:$G$377</c:f>
              <c:numCache/>
            </c:numRef>
          </c:cat>
          <c:val>
            <c:numRef>
              <c:f>Graphs!$C$379:$G$379</c:f>
              <c:numCache/>
            </c:numRef>
          </c:val>
        </c:ser>
        <c:axId val="337476"/>
        <c:axId val="3037285"/>
      </c:barChart>
      <c:catAx>
        <c:axId val="337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37285"/>
        <c:crosses val="autoZero"/>
        <c:auto val="1"/>
        <c:lblOffset val="100"/>
        <c:tickLblSkip val="1"/>
        <c:noMultiLvlLbl val="0"/>
      </c:catAx>
      <c:valAx>
        <c:axId val="3037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747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85675"/>
          <c:w val="0.70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Times interest earned</a:t>
            </a:r>
            <a:r>
              <a:rPr lang="en-US" cap="none" sz="1800" b="1" i="0" u="none" baseline="0">
                <a:solidFill>
                  <a:srgbClr val="FFFFFF"/>
                </a:solidFill>
              </a:rPr>
              <a:t> 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58"/>
          <c:h val="0.7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Graphs!$B$399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Graphs!$C$398:$G$398</c:f>
              <c:numCache/>
            </c:numRef>
          </c:cat>
          <c:val>
            <c:numRef>
              <c:f>Graphs!$C$399:$G$399</c:f>
              <c:numCache/>
            </c:numRef>
          </c:val>
        </c:ser>
        <c:ser>
          <c:idx val="1"/>
          <c:order val="1"/>
          <c:tx>
            <c:strRef>
              <c:f>Graphs!$B$400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Graphs!$C$398:$G$398</c:f>
              <c:numCache/>
            </c:numRef>
          </c:cat>
          <c:val>
            <c:numRef>
              <c:f>Graphs!$C$400:$G$400</c:f>
              <c:numCache/>
            </c:numRef>
          </c:val>
        </c:ser>
        <c:axId val="27335566"/>
        <c:axId val="44693503"/>
      </c:barChart>
      <c:catAx>
        <c:axId val="27335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93503"/>
        <c:crosses val="autoZero"/>
        <c:auto val="1"/>
        <c:lblOffset val="100"/>
        <c:tickLblSkip val="1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33556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85675"/>
          <c:w val="0.637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Return on Equity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13"/>
          <c:w val="0.878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Graphs!$B$26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Graphs!$C$25:$G$25</c:f>
              <c:numCache/>
            </c:numRef>
          </c:cat>
          <c:val>
            <c:numRef>
              <c:f>Graphs!$C$26:$G$26</c:f>
              <c:numCache/>
            </c:numRef>
          </c:val>
        </c:ser>
        <c:ser>
          <c:idx val="1"/>
          <c:order val="1"/>
          <c:tx>
            <c:strRef>
              <c:f>Graphs!$B$27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Graphs!$C$25:$G$25</c:f>
              <c:numCache/>
            </c:numRef>
          </c:cat>
          <c:val>
            <c:numRef>
              <c:f>Graphs!$C$27:$G$27</c:f>
              <c:numCache/>
            </c:numRef>
          </c:val>
        </c:ser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825"/>
          <c:y val="0.889"/>
          <c:w val="0.59225"/>
          <c:h val="0.04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Price Earning Ratio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1825"/>
          <c:w val="0.68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Graphs!$B$48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Graphs!$C$47:$G$47</c:f>
              <c:numCache/>
            </c:numRef>
          </c:cat>
          <c:val>
            <c:numRef>
              <c:f>Graphs!$C$48:$G$48</c:f>
              <c:numCache/>
            </c:numRef>
          </c:val>
        </c:ser>
        <c:ser>
          <c:idx val="1"/>
          <c:order val="1"/>
          <c:tx>
            <c:strRef>
              <c:f>Graphs!$B$49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Graphs!$C$47:$G$47</c:f>
              <c:numCache/>
            </c:numRef>
          </c:cat>
          <c:val>
            <c:numRef>
              <c:f>Graphs!$C$49:$G$49</c:f>
              <c:numCache/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8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45"/>
          <c:y val="0.48375"/>
          <c:w val="0.254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Price /Free Cash Flow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2075"/>
          <c:h val="0.6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Graphs!$B$71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Graphs!$C$70:$G$70</c:f>
              <c:numCache/>
            </c:numRef>
          </c:cat>
          <c:val>
            <c:numRef>
              <c:f>Graphs!$C$71:$G$71</c:f>
              <c:numCache/>
            </c:numRef>
          </c:val>
        </c:ser>
        <c:ser>
          <c:idx val="1"/>
          <c:order val="1"/>
          <c:tx>
            <c:strRef>
              <c:f>Graphs!$B$72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7B6E8F"/>
                </a:gs>
                <a:gs pos="80000">
                  <a:srgbClr val="A391BC"/>
                </a:gs>
                <a:gs pos="100000">
                  <a:srgbClr val="A391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Graphs!$C$70:$G$70</c:f>
              <c:numCache/>
            </c:numRef>
          </c:cat>
          <c:val>
            <c:numRef>
              <c:f>Graphs!$C$72:$G$72</c:f>
              <c:numCache/>
            </c:numRef>
          </c:val>
        </c:ser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65336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25"/>
          <c:y val="0.83875"/>
          <c:w val="0.63475"/>
          <c:h val="0.09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Earnings Per Share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58"/>
          <c:h val="0.7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Graphs!$B$93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Graphs!$C$92:$G$92</c:f>
              <c:numCache/>
            </c:numRef>
          </c:cat>
          <c:val>
            <c:numRef>
              <c:f>Graphs!$C$93:$G$93</c:f>
              <c:numCache/>
            </c:numRef>
          </c:val>
        </c:ser>
        <c:ser>
          <c:idx val="1"/>
          <c:order val="1"/>
          <c:tx>
            <c:strRef>
              <c:f>Graphs!$B$94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Graphs!$C$92:$G$92</c:f>
              <c:numCache/>
            </c:numRef>
          </c:cat>
          <c:val>
            <c:numRef>
              <c:f>Graphs!$C$94:$G$94</c:f>
              <c:numCache/>
            </c:numRef>
          </c:val>
        </c:ser>
        <c:axId val="20546530"/>
        <c:axId val="50701043"/>
      </c:bar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8"/>
          <c:y val="0.85675"/>
          <c:w val="0.64325"/>
          <c:h val="0.10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Financial Leverage Impact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425"/>
          <c:w val="0.894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Graphs!$B$115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Graphs!$C$114:$G$114</c:f>
              <c:numCache/>
            </c:numRef>
          </c:cat>
          <c:val>
            <c:numRef>
              <c:f>Graphs!$C$115:$G$115</c:f>
              <c:numCache/>
            </c:numRef>
          </c:val>
        </c:ser>
        <c:ser>
          <c:idx val="1"/>
          <c:order val="1"/>
          <c:tx>
            <c:strRef>
              <c:f>Graphs!$B$116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Graphs!$C$114:$G$114</c:f>
              <c:numCache/>
            </c:numRef>
          </c:cat>
          <c:val>
            <c:numRef>
              <c:f>Graphs!$C$116:$G$116</c:f>
              <c:numCache/>
            </c:numRef>
          </c:val>
        </c:ser>
        <c:axId val="53656204"/>
        <c:axId val="13143789"/>
      </c:barChart>
      <c:catAx>
        <c:axId val="53656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20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025"/>
          <c:y val="0.85675"/>
          <c:w val="0.567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Inventory Turn Over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4"/>
          <c:w val="0.88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Graphs!$B$138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Graphs!$C$137:$G$137</c:f>
              <c:numCache/>
            </c:numRef>
          </c:cat>
          <c:val>
            <c:numRef>
              <c:f>Graphs!$C$138:$G$138</c:f>
              <c:numCache/>
            </c:numRef>
          </c:val>
        </c:ser>
        <c:ser>
          <c:idx val="1"/>
          <c:order val="1"/>
          <c:tx>
            <c:strRef>
              <c:f>Graphs!$B$139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Graphs!$C$137:$G$137</c:f>
              <c:numCache/>
            </c:numRef>
          </c:cat>
          <c:val>
            <c:numRef>
              <c:f>Graphs!$C$139:$G$139</c:f>
              <c:numCache/>
            </c:numRef>
          </c:val>
        </c:ser>
        <c:axId val="51185238"/>
        <c:axId val="58013959"/>
      </c:barChart>
      <c:catAx>
        <c:axId val="51185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846"/>
          <c:w val="0.600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Accounts Receivable Turnover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5875"/>
          <c:w val="0.965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Graphs!$B$160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Graphs!$C$159:$G$159</c:f>
              <c:numCache/>
            </c:numRef>
          </c:cat>
          <c:val>
            <c:numRef>
              <c:f>Graphs!$C$160:$G$160</c:f>
              <c:numCache/>
            </c:numRef>
          </c:val>
        </c:ser>
        <c:ser>
          <c:idx val="1"/>
          <c:order val="1"/>
          <c:tx>
            <c:strRef>
              <c:f>Graphs!$B$161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C4825D"/>
                </a:gs>
                <a:gs pos="80000">
                  <a:srgbClr val="FFAB7C"/>
                </a:gs>
                <a:gs pos="100000">
                  <a:srgbClr val="FFAB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Graphs!$C$159:$G$159</c:f>
              <c:numCache/>
            </c:numRef>
          </c:cat>
          <c:val>
            <c:numRef>
              <c:f>Graphs!$C$161:$G$161</c:f>
              <c:numCache/>
            </c:numRef>
          </c:val>
        </c:ser>
        <c:axId val="52363584"/>
        <c:axId val="1510209"/>
      </c:barChart>
      <c:catAx>
        <c:axId val="52363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"/>
          <c:y val="0.905"/>
          <c:w val="0.533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</a:rPr>
              <a:t>Num of Days Sales in A/R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54"/>
          <c:w val="0.9685"/>
          <c:h val="0.7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Graphs!$B$183</c:f>
              <c:strCache>
                <c:ptCount val="1"/>
                <c:pt idx="0">
                  <c:v>Brick Brewing</c:v>
                </c:pt>
              </c:strCache>
            </c:strRef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Graphs!$C$182:$G$182</c:f>
              <c:numCache/>
            </c:numRef>
          </c:cat>
          <c:val>
            <c:numRef>
              <c:f>Graphs!$C$183:$G$183</c:f>
              <c:numCache/>
            </c:numRef>
          </c:val>
        </c:ser>
        <c:ser>
          <c:idx val="1"/>
          <c:order val="1"/>
          <c:tx>
            <c:strRef>
              <c:f>Graphs!$B$184</c:f>
              <c:strCache>
                <c:ptCount val="1"/>
                <c:pt idx="0">
                  <c:v>Fort Gary Brewing</c:v>
                </c:pt>
              </c:strCache>
            </c:strRef>
          </c:tx>
          <c:spPr>
            <a:gradFill rotWithShape="1">
              <a:gsLst>
                <a:gs pos="0">
                  <a:srgbClr val="899E68"/>
                </a:gs>
                <a:gs pos="80000">
                  <a:srgbClr val="B5CF8A"/>
                </a:gs>
                <a:gs pos="100000">
                  <a:srgbClr val="B6D18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Graphs!$C$182:$G$182</c:f>
              <c:numCache/>
            </c:numRef>
          </c:cat>
          <c:val>
            <c:numRef>
              <c:f>Graphs!$C$184:$G$184</c:f>
              <c:numCache/>
            </c:numRef>
          </c:val>
        </c:ser>
        <c:axId val="13591882"/>
        <c:axId val="55218075"/>
      </c:bar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86025"/>
          <c:w val="0.6772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47625</xdr:rowOff>
    </xdr:from>
    <xdr:to>
      <xdr:col>7</xdr:col>
      <xdr:colOff>152400</xdr:colOff>
      <xdr:row>23</xdr:row>
      <xdr:rowOff>38100</xdr:rowOff>
    </xdr:to>
    <xdr:graphicFrame>
      <xdr:nvGraphicFramePr>
        <xdr:cNvPr id="1" name="Chart 4"/>
        <xdr:cNvGraphicFramePr/>
      </xdr:nvGraphicFramePr>
      <xdr:xfrm>
        <a:off x="247650" y="1019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27</xdr:row>
      <xdr:rowOff>152400</xdr:rowOff>
    </xdr:from>
    <xdr:to>
      <xdr:col>7</xdr:col>
      <xdr:colOff>152400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47650" y="452437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50</xdr:row>
      <xdr:rowOff>19050</xdr:rowOff>
    </xdr:from>
    <xdr:to>
      <xdr:col>7</xdr:col>
      <xdr:colOff>104775</xdr:colOff>
      <xdr:row>67</xdr:row>
      <xdr:rowOff>9525</xdr:rowOff>
    </xdr:to>
    <xdr:graphicFrame>
      <xdr:nvGraphicFramePr>
        <xdr:cNvPr id="3" name="Chart 3"/>
        <xdr:cNvGraphicFramePr/>
      </xdr:nvGraphicFramePr>
      <xdr:xfrm>
        <a:off x="200025" y="81153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73</xdr:row>
      <xdr:rowOff>0</xdr:rowOff>
    </xdr:from>
    <xdr:to>
      <xdr:col>7</xdr:col>
      <xdr:colOff>85725</xdr:colOff>
      <xdr:row>89</xdr:row>
      <xdr:rowOff>152400</xdr:rowOff>
    </xdr:to>
    <xdr:graphicFrame>
      <xdr:nvGraphicFramePr>
        <xdr:cNvPr id="4" name="Chart 7"/>
        <xdr:cNvGraphicFramePr/>
      </xdr:nvGraphicFramePr>
      <xdr:xfrm>
        <a:off x="180975" y="118205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94</xdr:row>
      <xdr:rowOff>114300</xdr:rowOff>
    </xdr:from>
    <xdr:to>
      <xdr:col>7</xdr:col>
      <xdr:colOff>66675</xdr:colOff>
      <xdr:row>111</xdr:row>
      <xdr:rowOff>104775</xdr:rowOff>
    </xdr:to>
    <xdr:graphicFrame>
      <xdr:nvGraphicFramePr>
        <xdr:cNvPr id="5" name="Chart 9"/>
        <xdr:cNvGraphicFramePr/>
      </xdr:nvGraphicFramePr>
      <xdr:xfrm>
        <a:off x="161925" y="153352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116</xdr:row>
      <xdr:rowOff>76200</xdr:rowOff>
    </xdr:from>
    <xdr:to>
      <xdr:col>7</xdr:col>
      <xdr:colOff>85725</xdr:colOff>
      <xdr:row>133</xdr:row>
      <xdr:rowOff>66675</xdr:rowOff>
    </xdr:to>
    <xdr:graphicFrame>
      <xdr:nvGraphicFramePr>
        <xdr:cNvPr id="6" name="Chart 10"/>
        <xdr:cNvGraphicFramePr/>
      </xdr:nvGraphicFramePr>
      <xdr:xfrm>
        <a:off x="180975" y="18859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140</xdr:row>
      <xdr:rowOff>0</xdr:rowOff>
    </xdr:from>
    <xdr:to>
      <xdr:col>7</xdr:col>
      <xdr:colOff>19050</xdr:colOff>
      <xdr:row>156</xdr:row>
      <xdr:rowOff>152400</xdr:rowOff>
    </xdr:to>
    <xdr:graphicFrame>
      <xdr:nvGraphicFramePr>
        <xdr:cNvPr id="7" name="Chart 11"/>
        <xdr:cNvGraphicFramePr/>
      </xdr:nvGraphicFramePr>
      <xdr:xfrm>
        <a:off x="114300" y="22669500"/>
        <a:ext cx="45720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76200</xdr:colOff>
      <xdr:row>162</xdr:row>
      <xdr:rowOff>0</xdr:rowOff>
    </xdr:from>
    <xdr:to>
      <xdr:col>6</xdr:col>
      <xdr:colOff>647700</xdr:colOff>
      <xdr:row>181</xdr:row>
      <xdr:rowOff>19050</xdr:rowOff>
    </xdr:to>
    <xdr:graphicFrame>
      <xdr:nvGraphicFramePr>
        <xdr:cNvPr id="8" name="Chart 12"/>
        <xdr:cNvGraphicFramePr/>
      </xdr:nvGraphicFramePr>
      <xdr:xfrm>
        <a:off x="76200" y="26231850"/>
        <a:ext cx="4572000" cy="3095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184</xdr:row>
      <xdr:rowOff>152400</xdr:rowOff>
    </xdr:from>
    <xdr:to>
      <xdr:col>6</xdr:col>
      <xdr:colOff>628650</xdr:colOff>
      <xdr:row>201</xdr:row>
      <xdr:rowOff>142875</xdr:rowOff>
    </xdr:to>
    <xdr:graphicFrame>
      <xdr:nvGraphicFramePr>
        <xdr:cNvPr id="9" name="Chart 13"/>
        <xdr:cNvGraphicFramePr/>
      </xdr:nvGraphicFramePr>
      <xdr:xfrm>
        <a:off x="57150" y="29946600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76200</xdr:colOff>
      <xdr:row>206</xdr:row>
      <xdr:rowOff>142875</xdr:rowOff>
    </xdr:from>
    <xdr:to>
      <xdr:col>6</xdr:col>
      <xdr:colOff>647700</xdr:colOff>
      <xdr:row>223</xdr:row>
      <xdr:rowOff>133350</xdr:rowOff>
    </xdr:to>
    <xdr:graphicFrame>
      <xdr:nvGraphicFramePr>
        <xdr:cNvPr id="10" name="Chart 14"/>
        <xdr:cNvGraphicFramePr/>
      </xdr:nvGraphicFramePr>
      <xdr:xfrm>
        <a:off x="76200" y="3349942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228</xdr:row>
      <xdr:rowOff>85725</xdr:rowOff>
    </xdr:from>
    <xdr:to>
      <xdr:col>6</xdr:col>
      <xdr:colOff>638175</xdr:colOff>
      <xdr:row>245</xdr:row>
      <xdr:rowOff>76200</xdr:rowOff>
    </xdr:to>
    <xdr:graphicFrame>
      <xdr:nvGraphicFramePr>
        <xdr:cNvPr id="11" name="Chart 15"/>
        <xdr:cNvGraphicFramePr/>
      </xdr:nvGraphicFramePr>
      <xdr:xfrm>
        <a:off x="66675" y="37004625"/>
        <a:ext cx="45720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249</xdr:row>
      <xdr:rowOff>123825</xdr:rowOff>
    </xdr:from>
    <xdr:to>
      <xdr:col>6</xdr:col>
      <xdr:colOff>571500</xdr:colOff>
      <xdr:row>266</xdr:row>
      <xdr:rowOff>114300</xdr:rowOff>
    </xdr:to>
    <xdr:graphicFrame>
      <xdr:nvGraphicFramePr>
        <xdr:cNvPr id="12" name="Chart 16"/>
        <xdr:cNvGraphicFramePr/>
      </xdr:nvGraphicFramePr>
      <xdr:xfrm>
        <a:off x="0" y="40443150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95250</xdr:colOff>
      <xdr:row>272</xdr:row>
      <xdr:rowOff>0</xdr:rowOff>
    </xdr:from>
    <xdr:to>
      <xdr:col>7</xdr:col>
      <xdr:colOff>0</xdr:colOff>
      <xdr:row>288</xdr:row>
      <xdr:rowOff>152400</xdr:rowOff>
    </xdr:to>
    <xdr:graphicFrame>
      <xdr:nvGraphicFramePr>
        <xdr:cNvPr id="13" name="Chart 17"/>
        <xdr:cNvGraphicFramePr/>
      </xdr:nvGraphicFramePr>
      <xdr:xfrm>
        <a:off x="95250" y="44043600"/>
        <a:ext cx="457200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293</xdr:row>
      <xdr:rowOff>133350</xdr:rowOff>
    </xdr:from>
    <xdr:to>
      <xdr:col>7</xdr:col>
      <xdr:colOff>28575</xdr:colOff>
      <xdr:row>310</xdr:row>
      <xdr:rowOff>123825</xdr:rowOff>
    </xdr:to>
    <xdr:graphicFrame>
      <xdr:nvGraphicFramePr>
        <xdr:cNvPr id="14" name="Chart 18"/>
        <xdr:cNvGraphicFramePr/>
      </xdr:nvGraphicFramePr>
      <xdr:xfrm>
        <a:off x="0" y="47577375"/>
        <a:ext cx="46958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316</xdr:row>
      <xdr:rowOff>9525</xdr:rowOff>
    </xdr:from>
    <xdr:to>
      <xdr:col>6</xdr:col>
      <xdr:colOff>571500</xdr:colOff>
      <xdr:row>333</xdr:row>
      <xdr:rowOff>0</xdr:rowOff>
    </xdr:to>
    <xdr:graphicFrame>
      <xdr:nvGraphicFramePr>
        <xdr:cNvPr id="15" name="Chart 21"/>
        <xdr:cNvGraphicFramePr/>
      </xdr:nvGraphicFramePr>
      <xdr:xfrm>
        <a:off x="0" y="51177825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337</xdr:row>
      <xdr:rowOff>104775</xdr:rowOff>
    </xdr:from>
    <xdr:to>
      <xdr:col>6</xdr:col>
      <xdr:colOff>628650</xdr:colOff>
      <xdr:row>354</xdr:row>
      <xdr:rowOff>9525</xdr:rowOff>
    </xdr:to>
    <xdr:graphicFrame>
      <xdr:nvGraphicFramePr>
        <xdr:cNvPr id="16" name="Chart 22"/>
        <xdr:cNvGraphicFramePr/>
      </xdr:nvGraphicFramePr>
      <xdr:xfrm>
        <a:off x="19050" y="54673500"/>
        <a:ext cx="4610100" cy="2657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358</xdr:row>
      <xdr:rowOff>57150</xdr:rowOff>
    </xdr:from>
    <xdr:to>
      <xdr:col>7</xdr:col>
      <xdr:colOff>85725</xdr:colOff>
      <xdr:row>375</xdr:row>
      <xdr:rowOff>47625</xdr:rowOff>
    </xdr:to>
    <xdr:graphicFrame>
      <xdr:nvGraphicFramePr>
        <xdr:cNvPr id="17" name="Chart 23"/>
        <xdr:cNvGraphicFramePr/>
      </xdr:nvGraphicFramePr>
      <xdr:xfrm>
        <a:off x="19050" y="58026300"/>
        <a:ext cx="4733925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47625</xdr:colOff>
      <xdr:row>379</xdr:row>
      <xdr:rowOff>85725</xdr:rowOff>
    </xdr:from>
    <xdr:to>
      <xdr:col>6</xdr:col>
      <xdr:colOff>619125</xdr:colOff>
      <xdr:row>396</xdr:row>
      <xdr:rowOff>76200</xdr:rowOff>
    </xdr:to>
    <xdr:graphicFrame>
      <xdr:nvGraphicFramePr>
        <xdr:cNvPr id="18" name="Chart 24"/>
        <xdr:cNvGraphicFramePr/>
      </xdr:nvGraphicFramePr>
      <xdr:xfrm>
        <a:off x="47625" y="61455300"/>
        <a:ext cx="457200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400</xdr:row>
      <xdr:rowOff>85725</xdr:rowOff>
    </xdr:from>
    <xdr:to>
      <xdr:col>6</xdr:col>
      <xdr:colOff>628650</xdr:colOff>
      <xdr:row>417</xdr:row>
      <xdr:rowOff>76200</xdr:rowOff>
    </xdr:to>
    <xdr:graphicFrame>
      <xdr:nvGraphicFramePr>
        <xdr:cNvPr id="19" name="Chart 25"/>
        <xdr:cNvGraphicFramePr/>
      </xdr:nvGraphicFramePr>
      <xdr:xfrm>
        <a:off x="57150" y="64855725"/>
        <a:ext cx="4572000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zoomScalePageLayoutView="0" workbookViewId="0" topLeftCell="A3">
      <selection activeCell="D35" sqref="D35"/>
    </sheetView>
  </sheetViews>
  <sheetFormatPr defaultColWidth="11.00390625" defaultRowHeight="12.75"/>
  <cols>
    <col min="1" max="1" width="4.125" style="0" customWidth="1"/>
    <col min="2" max="2" width="2.75390625" style="0" customWidth="1"/>
    <col min="3" max="3" width="36.375" style="0" customWidth="1"/>
    <col min="4" max="6" width="12.00390625" style="0" bestFit="1" customWidth="1"/>
    <col min="7" max="7" width="11.375" style="0" bestFit="1" customWidth="1"/>
    <col min="8" max="9" width="12.00390625" style="0" bestFit="1" customWidth="1"/>
  </cols>
  <sheetData>
    <row r="1" spans="1:9" ht="19.5">
      <c r="A1" s="26" t="s">
        <v>5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141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8" t="s">
        <v>142</v>
      </c>
      <c r="B3" s="28"/>
      <c r="C3" s="28"/>
      <c r="D3" s="28"/>
      <c r="E3" s="28"/>
      <c r="F3" s="28"/>
      <c r="G3" s="28"/>
      <c r="H3" s="28"/>
      <c r="I3" s="28"/>
    </row>
    <row r="4" spans="1:9" ht="13.5" thickBot="1">
      <c r="A4" s="29"/>
      <c r="B4" s="29"/>
      <c r="C4" s="29"/>
      <c r="D4" s="29"/>
      <c r="E4" s="29"/>
      <c r="F4" s="29"/>
      <c r="G4" s="29"/>
      <c r="H4" s="29"/>
      <c r="I4" s="29"/>
    </row>
    <row r="5" spans="1:9" ht="12.75">
      <c r="A5" s="30"/>
      <c r="B5" s="30"/>
      <c r="C5" s="30"/>
      <c r="D5" s="30">
        <v>2007</v>
      </c>
      <c r="E5" s="30">
        <v>2006</v>
      </c>
      <c r="F5" s="30">
        <v>2005</v>
      </c>
      <c r="G5" s="30">
        <v>2004</v>
      </c>
      <c r="H5" s="30">
        <v>2003</v>
      </c>
      <c r="I5" s="30">
        <v>2002</v>
      </c>
    </row>
    <row r="6" spans="1:9" ht="12.75">
      <c r="A6" s="27" t="s">
        <v>143</v>
      </c>
      <c r="B6" s="27"/>
      <c r="C6" s="27"/>
      <c r="D6" s="31"/>
      <c r="E6" s="31"/>
      <c r="F6" s="31"/>
      <c r="G6" s="31"/>
      <c r="H6" s="31"/>
      <c r="I6" s="31"/>
    </row>
    <row r="7" spans="1:9" ht="12.75">
      <c r="A7" s="27" t="s">
        <v>144</v>
      </c>
      <c r="B7" s="27"/>
      <c r="C7" s="27"/>
      <c r="D7" s="31"/>
      <c r="E7" s="31"/>
      <c r="F7" s="31"/>
      <c r="G7" s="31"/>
      <c r="H7" s="31"/>
      <c r="I7" s="31"/>
    </row>
    <row r="8" spans="1:9" ht="12.75">
      <c r="A8" s="27"/>
      <c r="B8" s="28" t="s">
        <v>145</v>
      </c>
      <c r="C8" s="28"/>
      <c r="D8" s="34">
        <v>126746</v>
      </c>
      <c r="E8" s="34">
        <v>4799330</v>
      </c>
      <c r="F8" s="34">
        <v>1884709</v>
      </c>
      <c r="G8" s="34">
        <v>92223</v>
      </c>
      <c r="H8" s="34">
        <v>-2302484</v>
      </c>
      <c r="I8" s="34">
        <v>2291481</v>
      </c>
    </row>
    <row r="9" spans="1:9" ht="12.75">
      <c r="A9" s="27"/>
      <c r="B9" s="27" t="s">
        <v>146</v>
      </c>
      <c r="C9" s="27"/>
      <c r="D9" s="35"/>
      <c r="E9" s="35"/>
      <c r="F9" s="35"/>
      <c r="G9" s="35"/>
      <c r="H9" s="35"/>
      <c r="I9" s="35"/>
    </row>
    <row r="10" spans="1:9" ht="12.75">
      <c r="A10" s="27"/>
      <c r="B10" s="27"/>
      <c r="C10" s="27" t="s">
        <v>147</v>
      </c>
      <c r="D10" s="35">
        <v>1757938</v>
      </c>
      <c r="E10" s="35">
        <v>1153291</v>
      </c>
      <c r="F10" s="35">
        <v>1363472</v>
      </c>
      <c r="G10" s="35">
        <v>933194</v>
      </c>
      <c r="H10" s="35">
        <v>962853</v>
      </c>
      <c r="I10" s="35">
        <v>1217408</v>
      </c>
    </row>
    <row r="11" spans="1:9" ht="12.75">
      <c r="A11" s="27"/>
      <c r="B11" s="27"/>
      <c r="C11" s="27" t="s">
        <v>169</v>
      </c>
      <c r="D11" s="35">
        <v>130994</v>
      </c>
      <c r="E11" s="35">
        <v>191630</v>
      </c>
      <c r="F11" s="35">
        <v>160300</v>
      </c>
      <c r="G11" s="35">
        <v>0</v>
      </c>
      <c r="H11" s="35">
        <v>0</v>
      </c>
      <c r="I11" s="35">
        <v>0</v>
      </c>
    </row>
    <row r="12" spans="1:9" ht="12.75">
      <c r="A12" s="27"/>
      <c r="B12" s="27"/>
      <c r="C12" s="27" t="s">
        <v>170</v>
      </c>
      <c r="D12" s="35">
        <v>24200</v>
      </c>
      <c r="E12" s="35">
        <v>-37553</v>
      </c>
      <c r="F12" s="35">
        <v>0</v>
      </c>
      <c r="G12" s="35">
        <v>0</v>
      </c>
      <c r="H12" s="35">
        <v>0</v>
      </c>
      <c r="I12" s="35">
        <v>0</v>
      </c>
    </row>
    <row r="13" spans="1:9" ht="12.75">
      <c r="A13" s="27"/>
      <c r="B13" s="27"/>
      <c r="C13" s="27" t="s">
        <v>171</v>
      </c>
      <c r="D13" s="35">
        <v>318775</v>
      </c>
      <c r="E13" s="35">
        <v>-2103865</v>
      </c>
      <c r="F13" s="35">
        <v>0</v>
      </c>
      <c r="G13" s="35">
        <v>0</v>
      </c>
      <c r="H13" s="35">
        <v>0</v>
      </c>
      <c r="I13" s="35">
        <v>0</v>
      </c>
    </row>
    <row r="14" spans="1:9" ht="12.75">
      <c r="A14" s="27"/>
      <c r="B14" s="27"/>
      <c r="C14" s="28" t="s">
        <v>148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-2187226</v>
      </c>
    </row>
    <row r="15" spans="1:9" ht="12.75">
      <c r="A15" s="27"/>
      <c r="B15" s="32"/>
      <c r="C15" s="32" t="s">
        <v>154</v>
      </c>
      <c r="D15" s="33">
        <v>0</v>
      </c>
      <c r="E15" s="33">
        <v>0</v>
      </c>
      <c r="F15" s="33">
        <v>0</v>
      </c>
      <c r="G15" s="33">
        <v>0</v>
      </c>
      <c r="H15" s="33">
        <v>27500</v>
      </c>
      <c r="I15" s="33">
        <v>0</v>
      </c>
    </row>
    <row r="16" spans="1:9" ht="12.75">
      <c r="A16" s="27"/>
      <c r="B16" s="27"/>
      <c r="C16" s="27"/>
      <c r="D16" s="35">
        <f aca="true" t="shared" si="0" ref="D16:I16">SUM(D8:D15)</f>
        <v>2358653</v>
      </c>
      <c r="E16" s="35">
        <f t="shared" si="0"/>
        <v>4002833</v>
      </c>
      <c r="F16" s="35">
        <f t="shared" si="0"/>
        <v>3408481</v>
      </c>
      <c r="G16" s="35">
        <f t="shared" si="0"/>
        <v>1025417</v>
      </c>
      <c r="H16" s="35">
        <f t="shared" si="0"/>
        <v>-1312131</v>
      </c>
      <c r="I16" s="35">
        <f t="shared" si="0"/>
        <v>1321663</v>
      </c>
    </row>
    <row r="17" spans="1:9" ht="12.75">
      <c r="A17" s="27"/>
      <c r="B17" s="27"/>
      <c r="C17" s="27"/>
      <c r="D17" s="35"/>
      <c r="E17" s="35"/>
      <c r="F17" s="35"/>
      <c r="G17" s="35"/>
      <c r="H17" s="35"/>
      <c r="I17" s="35"/>
    </row>
    <row r="18" spans="1:9" ht="12.75">
      <c r="A18" s="27"/>
      <c r="B18" s="32" t="s">
        <v>149</v>
      </c>
      <c r="C18" s="32"/>
      <c r="D18" s="33">
        <v>-4164805</v>
      </c>
      <c r="E18" s="33">
        <v>-498020</v>
      </c>
      <c r="F18" s="33">
        <v>-4974894</v>
      </c>
      <c r="G18" s="33">
        <v>643576</v>
      </c>
      <c r="H18" s="33">
        <v>2193214</v>
      </c>
      <c r="I18" s="33">
        <v>-1111423</v>
      </c>
    </row>
    <row r="19" spans="1:9" ht="12.75">
      <c r="A19" s="28"/>
      <c r="B19" s="28"/>
      <c r="C19" s="28"/>
      <c r="D19" s="89">
        <f aca="true" t="shared" si="1" ref="D19:I19">D18+D16</f>
        <v>-1806152</v>
      </c>
      <c r="E19" s="89">
        <f t="shared" si="1"/>
        <v>3504813</v>
      </c>
      <c r="F19" s="89">
        <f t="shared" si="1"/>
        <v>-1566413</v>
      </c>
      <c r="G19" s="89">
        <f t="shared" si="1"/>
        <v>1668993</v>
      </c>
      <c r="H19" s="89">
        <f t="shared" si="1"/>
        <v>881083</v>
      </c>
      <c r="I19" s="89">
        <f t="shared" si="1"/>
        <v>210240</v>
      </c>
    </row>
    <row r="20" spans="1:9" ht="12.75">
      <c r="A20" s="32"/>
      <c r="B20" s="32"/>
      <c r="C20" s="32"/>
      <c r="D20" s="33"/>
      <c r="E20" s="33"/>
      <c r="F20" s="33"/>
      <c r="G20" s="33"/>
      <c r="H20" s="33"/>
      <c r="I20" s="33"/>
    </row>
    <row r="21" spans="1:9" ht="12.75">
      <c r="A21" s="27" t="s">
        <v>150</v>
      </c>
      <c r="B21" s="27"/>
      <c r="C21" s="27"/>
      <c r="D21" s="35"/>
      <c r="E21" s="35"/>
      <c r="F21" s="35"/>
      <c r="G21" s="35"/>
      <c r="H21" s="35"/>
      <c r="I21" s="35"/>
    </row>
    <row r="22" spans="1:9" ht="12.75">
      <c r="A22" s="27"/>
      <c r="B22" s="27" t="s">
        <v>151</v>
      </c>
      <c r="C22" s="27"/>
      <c r="D22" s="35">
        <v>0</v>
      </c>
      <c r="E22" s="35">
        <v>0</v>
      </c>
      <c r="F22" s="35">
        <v>-807232</v>
      </c>
      <c r="G22" s="35">
        <v>-500569</v>
      </c>
      <c r="H22" s="35">
        <v>-236441</v>
      </c>
      <c r="I22" s="35">
        <v>-207459</v>
      </c>
    </row>
    <row r="23" spans="1:9" ht="12.75">
      <c r="A23" s="27"/>
      <c r="B23" s="27" t="s">
        <v>161</v>
      </c>
      <c r="C23" s="27"/>
      <c r="D23" s="35">
        <v>-676200</v>
      </c>
      <c r="E23" s="35">
        <v>-384900</v>
      </c>
      <c r="F23" s="35">
        <v>-3265477</v>
      </c>
      <c r="G23" s="35">
        <v>-271428</v>
      </c>
      <c r="H23" s="35">
        <v>-3003223</v>
      </c>
      <c r="I23" s="35">
        <v>-1626456</v>
      </c>
    </row>
    <row r="24" spans="1:9" ht="12.75">
      <c r="A24" s="27"/>
      <c r="B24" s="27" t="s">
        <v>162</v>
      </c>
      <c r="C24" s="27"/>
      <c r="D24" s="35">
        <v>0</v>
      </c>
      <c r="E24" s="35">
        <v>0</v>
      </c>
      <c r="F24" s="35">
        <v>-648195</v>
      </c>
      <c r="G24" s="35">
        <v>0</v>
      </c>
      <c r="H24" s="35">
        <v>0</v>
      </c>
      <c r="I24" s="35">
        <v>0</v>
      </c>
    </row>
    <row r="25" spans="1:9" ht="12.75">
      <c r="A25" s="27"/>
      <c r="B25" s="27" t="s">
        <v>155</v>
      </c>
      <c r="C25" s="27"/>
      <c r="D25" s="35">
        <v>0</v>
      </c>
      <c r="E25" s="35">
        <v>0</v>
      </c>
      <c r="F25" s="35">
        <v>0</v>
      </c>
      <c r="G25" s="35">
        <v>0</v>
      </c>
      <c r="H25" s="35">
        <v>3500000</v>
      </c>
      <c r="I25" s="35">
        <v>0</v>
      </c>
    </row>
    <row r="26" spans="1:9" ht="12.75">
      <c r="A26" s="27"/>
      <c r="B26" s="27" t="s">
        <v>156</v>
      </c>
      <c r="C26" s="27"/>
      <c r="D26" s="35">
        <v>0</v>
      </c>
      <c r="E26" s="35">
        <v>-5000</v>
      </c>
      <c r="F26" s="35">
        <v>-185346</v>
      </c>
      <c r="G26" s="35">
        <v>0</v>
      </c>
      <c r="H26" s="35">
        <v>-149238</v>
      </c>
      <c r="I26" s="35">
        <v>0</v>
      </c>
    </row>
    <row r="27" spans="1:9" ht="12.75">
      <c r="A27" s="27"/>
      <c r="B27" s="27" t="s">
        <v>163</v>
      </c>
      <c r="C27" s="27"/>
      <c r="D27" s="35">
        <v>2000000</v>
      </c>
      <c r="E27" s="35">
        <v>1000000</v>
      </c>
      <c r="F27" s="35">
        <v>3000000</v>
      </c>
      <c r="G27" s="35">
        <v>0</v>
      </c>
      <c r="H27" s="35">
        <v>0</v>
      </c>
      <c r="I27" s="35">
        <v>0</v>
      </c>
    </row>
    <row r="28" spans="1:9" ht="12.75">
      <c r="A28" s="27"/>
      <c r="B28" s="27" t="s">
        <v>178</v>
      </c>
      <c r="C28" s="27"/>
      <c r="D28" s="35">
        <v>750000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</row>
    <row r="29" spans="1:9" ht="12.75">
      <c r="A29" s="27"/>
      <c r="B29" s="27" t="s">
        <v>164</v>
      </c>
      <c r="C29" s="27"/>
      <c r="D29" s="35">
        <v>-193005</v>
      </c>
      <c r="E29" s="35">
        <v>-87418</v>
      </c>
      <c r="F29" s="35">
        <v>-6540</v>
      </c>
      <c r="G29" s="35">
        <v>0</v>
      </c>
      <c r="H29" s="35">
        <v>0</v>
      </c>
      <c r="I29" s="35">
        <v>0</v>
      </c>
    </row>
    <row r="30" spans="1:9" ht="12.75">
      <c r="A30" s="27"/>
      <c r="B30" s="27" t="s">
        <v>172</v>
      </c>
      <c r="C30" s="27"/>
      <c r="D30" s="35">
        <v>0</v>
      </c>
      <c r="E30" s="35">
        <v>224337</v>
      </c>
      <c r="F30" s="35">
        <v>0</v>
      </c>
      <c r="G30" s="35">
        <v>0</v>
      </c>
      <c r="H30" s="35">
        <v>0</v>
      </c>
      <c r="I30" s="35">
        <v>0</v>
      </c>
    </row>
    <row r="31" spans="1:9" ht="12.75">
      <c r="A31" s="27"/>
      <c r="B31" s="32" t="s">
        <v>157</v>
      </c>
      <c r="C31" s="32"/>
      <c r="D31" s="33">
        <v>3786533</v>
      </c>
      <c r="E31" s="33">
        <v>657046</v>
      </c>
      <c r="F31" s="33">
        <v>7505077</v>
      </c>
      <c r="G31" s="33">
        <v>0</v>
      </c>
      <c r="H31" s="33">
        <v>51217</v>
      </c>
      <c r="I31" s="33">
        <v>14725</v>
      </c>
    </row>
    <row r="32" spans="1:9" ht="12.75">
      <c r="A32" s="28"/>
      <c r="B32" s="28"/>
      <c r="C32" s="28"/>
      <c r="D32" s="89">
        <f aca="true" t="shared" si="2" ref="D32:I32">SUM(D22:D31)</f>
        <v>5667328</v>
      </c>
      <c r="E32" s="89">
        <f t="shared" si="2"/>
        <v>1404065</v>
      </c>
      <c r="F32" s="89">
        <f t="shared" si="2"/>
        <v>5592287</v>
      </c>
      <c r="G32" s="89">
        <f t="shared" si="2"/>
        <v>-771997</v>
      </c>
      <c r="H32" s="89">
        <f t="shared" si="2"/>
        <v>162315</v>
      </c>
      <c r="I32" s="89">
        <f t="shared" si="2"/>
        <v>-1819190</v>
      </c>
    </row>
    <row r="33" spans="1:9" ht="12.75">
      <c r="A33" s="32"/>
      <c r="B33" s="32"/>
      <c r="C33" s="32"/>
      <c r="D33" s="33"/>
      <c r="E33" s="33"/>
      <c r="F33" s="33"/>
      <c r="G33" s="33"/>
      <c r="H33" s="33"/>
      <c r="I33" s="33"/>
    </row>
    <row r="34" spans="1:9" ht="12.75">
      <c r="A34" s="27" t="s">
        <v>152</v>
      </c>
      <c r="B34" s="27"/>
      <c r="C34" s="27"/>
      <c r="D34" s="35"/>
      <c r="E34" s="35"/>
      <c r="F34" s="35"/>
      <c r="G34" s="35"/>
      <c r="H34" s="35"/>
      <c r="I34" s="35"/>
    </row>
    <row r="35" spans="1:9" ht="12.75">
      <c r="A35" s="27"/>
      <c r="B35" s="27" t="s">
        <v>160</v>
      </c>
      <c r="C35" s="27"/>
      <c r="D35" s="35">
        <v>-3969692</v>
      </c>
      <c r="E35" s="35">
        <v>-6908215</v>
      </c>
      <c r="F35" s="35">
        <v>-789819</v>
      </c>
      <c r="G35" s="35">
        <v>-896996</v>
      </c>
      <c r="H35" s="35">
        <v>-1043398</v>
      </c>
      <c r="I35" s="35">
        <v>-965282</v>
      </c>
    </row>
    <row r="36" spans="1:9" ht="12.75">
      <c r="A36" s="27"/>
      <c r="B36" s="27" t="s">
        <v>165</v>
      </c>
      <c r="C36" s="27"/>
      <c r="D36" s="35">
        <v>0</v>
      </c>
      <c r="E36" s="35">
        <v>0</v>
      </c>
      <c r="F36" s="35">
        <v>-128175</v>
      </c>
      <c r="G36" s="35">
        <v>0</v>
      </c>
      <c r="H36" s="35">
        <v>0</v>
      </c>
      <c r="I36" s="35">
        <v>0</v>
      </c>
    </row>
    <row r="37" spans="1:9" ht="12.75">
      <c r="A37" s="27"/>
      <c r="B37" s="27" t="s">
        <v>173</v>
      </c>
      <c r="C37" s="27"/>
      <c r="D37" s="35">
        <v>-344506</v>
      </c>
      <c r="E37" s="35">
        <v>-235832</v>
      </c>
      <c r="F37" s="35">
        <v>0</v>
      </c>
      <c r="G37" s="35">
        <v>0</v>
      </c>
      <c r="H37" s="35">
        <v>0</v>
      </c>
      <c r="I37" s="35">
        <v>0</v>
      </c>
    </row>
    <row r="38" spans="1:9" ht="12.75">
      <c r="A38" s="27"/>
      <c r="B38" s="27" t="s">
        <v>166</v>
      </c>
      <c r="C38" s="27"/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</row>
    <row r="39" spans="1:9" ht="12.75">
      <c r="A39" s="27"/>
      <c r="B39" s="27" t="s">
        <v>174</v>
      </c>
      <c r="C39" s="27"/>
      <c r="D39" s="35">
        <v>0</v>
      </c>
      <c r="E39" s="35">
        <v>-300000</v>
      </c>
      <c r="F39" s="35">
        <v>0</v>
      </c>
      <c r="G39" s="35">
        <v>0</v>
      </c>
      <c r="H39" s="35">
        <v>0</v>
      </c>
      <c r="I39" s="35">
        <v>0</v>
      </c>
    </row>
    <row r="40" spans="1:9" ht="12.75">
      <c r="A40" s="27"/>
      <c r="B40" s="27" t="s">
        <v>175</v>
      </c>
      <c r="C40" s="27"/>
      <c r="D40" s="35">
        <v>0</v>
      </c>
      <c r="E40" s="35">
        <v>-65837</v>
      </c>
      <c r="F40" s="35">
        <v>0</v>
      </c>
      <c r="G40" s="35">
        <v>0</v>
      </c>
      <c r="H40" s="35">
        <v>0</v>
      </c>
      <c r="I40" s="35">
        <v>0</v>
      </c>
    </row>
    <row r="41" spans="1:9" ht="12.75">
      <c r="A41" s="27"/>
      <c r="B41" s="32" t="s">
        <v>153</v>
      </c>
      <c r="C41" s="32"/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2574232</v>
      </c>
    </row>
    <row r="42" spans="1:9" ht="12.75">
      <c r="A42" s="28"/>
      <c r="B42" s="28"/>
      <c r="C42" s="28"/>
      <c r="D42" s="89">
        <f aca="true" t="shared" si="3" ref="D42:I42">SUM(D35:D41)</f>
        <v>-4314198</v>
      </c>
      <c r="E42" s="89">
        <f t="shared" si="3"/>
        <v>-7509884</v>
      </c>
      <c r="F42" s="89">
        <f t="shared" si="3"/>
        <v>-917994</v>
      </c>
      <c r="G42" s="89">
        <f t="shared" si="3"/>
        <v>-896996</v>
      </c>
      <c r="H42" s="89">
        <f t="shared" si="3"/>
        <v>-1043398</v>
      </c>
      <c r="I42" s="89">
        <f t="shared" si="3"/>
        <v>1608950</v>
      </c>
    </row>
    <row r="43" spans="1:9" ht="12.75">
      <c r="A43" s="32"/>
      <c r="B43" s="32"/>
      <c r="C43" s="32"/>
      <c r="D43" s="33"/>
      <c r="E43" s="33"/>
      <c r="F43" s="33"/>
      <c r="G43" s="33"/>
      <c r="H43" s="33"/>
      <c r="I43" s="33"/>
    </row>
    <row r="44" spans="1:9" ht="12.75">
      <c r="A44" s="28" t="s">
        <v>179</v>
      </c>
      <c r="B44" s="28"/>
      <c r="C44" s="28"/>
      <c r="D44" s="160">
        <f aca="true" t="shared" si="4" ref="D44:I44">D42+D32+D19</f>
        <v>-453022</v>
      </c>
      <c r="E44" s="160">
        <f t="shared" si="4"/>
        <v>-2601006</v>
      </c>
      <c r="F44" s="89">
        <f t="shared" si="4"/>
        <v>3107880</v>
      </c>
      <c r="G44" s="89">
        <f t="shared" si="4"/>
        <v>0</v>
      </c>
      <c r="H44" s="89">
        <f t="shared" si="4"/>
        <v>0</v>
      </c>
      <c r="I44" s="89">
        <f t="shared" si="4"/>
        <v>0</v>
      </c>
    </row>
    <row r="45" spans="1:9" ht="12.75">
      <c r="A45" s="28"/>
      <c r="B45" s="28"/>
      <c r="C45" s="28"/>
      <c r="D45" s="34"/>
      <c r="E45" s="34"/>
      <c r="F45" s="34"/>
      <c r="G45" s="34"/>
      <c r="H45" s="34"/>
      <c r="I45" s="34"/>
    </row>
    <row r="46" spans="1:9" ht="12.75">
      <c r="A46" s="32" t="s">
        <v>176</v>
      </c>
      <c r="B46" s="32"/>
      <c r="C46" s="32"/>
      <c r="D46" s="33">
        <f>E47</f>
        <v>506874</v>
      </c>
      <c r="E46" s="33">
        <f>F47</f>
        <v>3107880</v>
      </c>
      <c r="F46" s="33">
        <f>G47</f>
        <v>0</v>
      </c>
      <c r="G46" s="33">
        <f>H47</f>
        <v>0</v>
      </c>
      <c r="H46" s="33">
        <f>I47</f>
        <v>0</v>
      </c>
      <c r="I46" s="33">
        <v>0</v>
      </c>
    </row>
    <row r="47" spans="1:9" ht="13.5" thickBot="1">
      <c r="A47" s="29" t="s">
        <v>177</v>
      </c>
      <c r="B47" s="29"/>
      <c r="C47" s="29"/>
      <c r="D47" s="98">
        <f>+D44+D46</f>
        <v>53852</v>
      </c>
      <c r="E47" s="98">
        <f>E46+E42+E32+E19</f>
        <v>506874</v>
      </c>
      <c r="F47" s="98">
        <f>F19+F32+F42</f>
        <v>3107880</v>
      </c>
      <c r="G47" s="98">
        <f>G19+G32+G42</f>
        <v>0</v>
      </c>
      <c r="H47" s="98">
        <f>H19+H32+H42</f>
        <v>0</v>
      </c>
      <c r="I47" s="98">
        <f>I19+I32+I42</f>
        <v>0</v>
      </c>
    </row>
    <row r="48" spans="1:9" ht="12.75">
      <c r="A48" s="27" t="s">
        <v>158</v>
      </c>
      <c r="B48" s="27"/>
      <c r="C48" s="27"/>
      <c r="D48" s="35"/>
      <c r="E48" s="35"/>
      <c r="F48" s="35"/>
      <c r="G48" s="35"/>
      <c r="H48" s="35"/>
      <c r="I48" s="35"/>
    </row>
    <row r="49" spans="1:9" ht="12.75">
      <c r="A49" s="28"/>
      <c r="B49" s="28" t="s">
        <v>159</v>
      </c>
      <c r="C49" s="28"/>
      <c r="D49" s="34">
        <v>387998</v>
      </c>
      <c r="E49" s="34">
        <v>219509</v>
      </c>
      <c r="F49" s="34">
        <v>206726</v>
      </c>
      <c r="G49" s="34">
        <v>260214</v>
      </c>
      <c r="H49" s="34">
        <v>401588</v>
      </c>
      <c r="I49" s="34">
        <v>417240</v>
      </c>
    </row>
    <row r="50" spans="1:9" ht="12.75">
      <c r="A50" s="28" t="s">
        <v>167</v>
      </c>
      <c r="B50" s="28"/>
      <c r="C50" s="28"/>
      <c r="D50" s="34"/>
      <c r="E50" s="34"/>
      <c r="F50" s="34"/>
      <c r="G50" s="34"/>
      <c r="H50" s="34"/>
      <c r="I50" s="34"/>
    </row>
    <row r="51" spans="1:9" ht="13.5" thickBot="1">
      <c r="A51" s="29"/>
      <c r="B51" s="29" t="s">
        <v>168</v>
      </c>
      <c r="C51" s="29"/>
      <c r="D51" s="36">
        <v>0</v>
      </c>
      <c r="E51" s="36">
        <v>223203</v>
      </c>
      <c r="F51" s="36">
        <v>75015</v>
      </c>
      <c r="G51" s="36">
        <v>0</v>
      </c>
      <c r="H51" s="36">
        <v>0</v>
      </c>
      <c r="I51" s="3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0"/>
  <sheetViews>
    <sheetView zoomScalePageLayoutView="0" workbookViewId="0" topLeftCell="A1">
      <selection activeCell="C29" sqref="C29"/>
    </sheetView>
  </sheetViews>
  <sheetFormatPr defaultColWidth="11.00390625" defaultRowHeight="12.75"/>
  <cols>
    <col min="1" max="1" width="4.875" style="27" customWidth="1"/>
    <col min="2" max="2" width="38.375" style="27" customWidth="1"/>
    <col min="3" max="3" width="12.375" style="27" bestFit="1" customWidth="1"/>
    <col min="4" max="4" width="4.375" style="27" bestFit="1" customWidth="1"/>
    <col min="5" max="5" width="12.375" style="27" bestFit="1" customWidth="1"/>
    <col min="6" max="6" width="4.375" style="103" bestFit="1" customWidth="1"/>
    <col min="7" max="7" width="12.375" style="27" bestFit="1" customWidth="1"/>
    <col min="8" max="8" width="4.375" style="103" bestFit="1" customWidth="1"/>
    <col min="9" max="9" width="12.375" style="27" bestFit="1" customWidth="1"/>
    <col min="10" max="10" width="4.375" style="27" bestFit="1" customWidth="1"/>
    <col min="11" max="11" width="12.375" style="27" bestFit="1" customWidth="1"/>
    <col min="12" max="12" width="4.375" style="27" bestFit="1" customWidth="1"/>
    <col min="13" max="13" width="12.375" style="27" bestFit="1" customWidth="1"/>
    <col min="14" max="14" width="4.375" style="27" bestFit="1" customWidth="1"/>
    <col min="15" max="16384" width="11.00390625" style="27" customWidth="1"/>
  </cols>
  <sheetData>
    <row r="1" spans="1:2" ht="19.5">
      <c r="A1" s="26" t="s">
        <v>5</v>
      </c>
      <c r="B1" s="26"/>
    </row>
    <row r="2" spans="1:2" ht="12.75">
      <c r="A2" s="39" t="s">
        <v>134</v>
      </c>
      <c r="B2" s="78"/>
    </row>
    <row r="3" spans="1:2" ht="12.75">
      <c r="A3" s="39" t="s">
        <v>135</v>
      </c>
      <c r="B3" s="39"/>
    </row>
    <row r="4" spans="1:14" ht="13.5" thickBot="1">
      <c r="A4" s="29"/>
      <c r="B4" s="29"/>
      <c r="C4" s="29"/>
      <c r="D4" s="29"/>
      <c r="E4" s="29"/>
      <c r="F4" s="104"/>
      <c r="G4" s="29"/>
      <c r="H4" s="104"/>
      <c r="I4" s="29"/>
      <c r="J4" s="29"/>
      <c r="K4" s="29"/>
      <c r="L4" s="29"/>
      <c r="M4" s="29"/>
      <c r="N4" s="29"/>
    </row>
    <row r="5" spans="1:17" ht="12.75">
      <c r="A5" s="84"/>
      <c r="B5" s="84"/>
      <c r="C5" s="85">
        <v>2007</v>
      </c>
      <c r="D5" s="85"/>
      <c r="E5" s="86">
        <v>2006</v>
      </c>
      <c r="F5" s="105"/>
      <c r="G5" s="86">
        <v>2005</v>
      </c>
      <c r="H5" s="105"/>
      <c r="I5" s="86">
        <v>2004</v>
      </c>
      <c r="J5" s="86"/>
      <c r="K5" s="86">
        <v>2003</v>
      </c>
      <c r="L5" s="86"/>
      <c r="M5" s="86">
        <v>2002</v>
      </c>
      <c r="O5" s="16"/>
      <c r="P5" s="17"/>
      <c r="Q5" s="18"/>
    </row>
    <row r="6" spans="1:17" ht="12.75">
      <c r="A6" s="96" t="s">
        <v>75</v>
      </c>
      <c r="B6" s="39"/>
      <c r="C6" s="35"/>
      <c r="D6" s="35"/>
      <c r="E6" s="63"/>
      <c r="F6" s="106"/>
      <c r="G6" s="63"/>
      <c r="H6" s="106"/>
      <c r="I6" s="63"/>
      <c r="J6" s="63"/>
      <c r="K6" s="63"/>
      <c r="L6" s="63"/>
      <c r="M6" s="63"/>
      <c r="N6" s="109"/>
      <c r="O6" s="15"/>
      <c r="P6" s="19"/>
      <c r="Q6" s="19"/>
    </row>
    <row r="7" spans="1:17" ht="12.75">
      <c r="A7" s="39" t="s">
        <v>76</v>
      </c>
      <c r="B7" s="39"/>
      <c r="C7" s="35"/>
      <c r="D7" s="35"/>
      <c r="E7" s="63"/>
      <c r="F7" s="106"/>
      <c r="G7" s="63"/>
      <c r="H7" s="106"/>
      <c r="I7" s="63"/>
      <c r="J7" s="63"/>
      <c r="K7" s="63"/>
      <c r="L7" s="63"/>
      <c r="M7" s="63"/>
      <c r="O7" s="14"/>
      <c r="P7" s="19"/>
      <c r="Q7" s="19"/>
    </row>
    <row r="8" spans="2:17" ht="12.75">
      <c r="B8" s="39" t="s">
        <v>77</v>
      </c>
      <c r="C8" s="82">
        <v>53852</v>
      </c>
      <c r="D8" s="110">
        <f aca="true" t="shared" si="0" ref="D8:D22">C8/$C$24</f>
        <v>0.0014417438771933638</v>
      </c>
      <c r="E8" s="48">
        <v>506874</v>
      </c>
      <c r="F8" s="110">
        <f aca="true" t="shared" si="1" ref="F8:F22">E8/$E$24</f>
        <v>0.015394552023195122</v>
      </c>
      <c r="G8" s="60">
        <v>3107880</v>
      </c>
      <c r="H8" s="110">
        <f aca="true" t="shared" si="2" ref="H8:H22">G8/$G$24</f>
        <v>0.12742103157949633</v>
      </c>
      <c r="I8" s="108">
        <v>0</v>
      </c>
      <c r="J8" s="110">
        <f aca="true" t="shared" si="3" ref="J8:J22">I8/$I$24</f>
        <v>0</v>
      </c>
      <c r="K8" s="107">
        <v>0</v>
      </c>
      <c r="L8" s="110">
        <f aca="true" t="shared" si="4" ref="L8:L22">K8/$K$24</f>
        <v>0</v>
      </c>
      <c r="M8" s="107">
        <v>0</v>
      </c>
      <c r="N8" s="110">
        <f aca="true" t="shared" si="5" ref="N8:N22">M8/$M$24</f>
        <v>0</v>
      </c>
      <c r="O8" s="14"/>
      <c r="Q8" s="21"/>
    </row>
    <row r="9" spans="2:17" ht="12.75">
      <c r="B9" s="39" t="s">
        <v>64</v>
      </c>
      <c r="C9" s="82">
        <v>2590199</v>
      </c>
      <c r="D9" s="110">
        <f t="shared" si="0"/>
        <v>0.06934567980692219</v>
      </c>
      <c r="E9" s="48">
        <v>3248198</v>
      </c>
      <c r="F9" s="110">
        <f t="shared" si="1"/>
        <v>0.09865282711805765</v>
      </c>
      <c r="G9" s="60">
        <v>1980981</v>
      </c>
      <c r="H9" s="110">
        <f t="shared" si="2"/>
        <v>0.08121891532471724</v>
      </c>
      <c r="I9" s="108">
        <v>485662</v>
      </c>
      <c r="J9" s="110">
        <f t="shared" si="3"/>
        <v>0.02709608402775387</v>
      </c>
      <c r="K9" s="60">
        <v>720071</v>
      </c>
      <c r="L9" s="110">
        <f t="shared" si="4"/>
        <v>0.039075563331308294</v>
      </c>
      <c r="M9" s="60">
        <v>1144627</v>
      </c>
      <c r="N9" s="110">
        <f t="shared" si="5"/>
        <v>0.06334751101236133</v>
      </c>
      <c r="O9" s="14"/>
      <c r="Q9" s="25"/>
    </row>
    <row r="10" spans="2:17" ht="12.75">
      <c r="B10" s="39" t="s">
        <v>124</v>
      </c>
      <c r="C10" s="82">
        <v>8381787</v>
      </c>
      <c r="D10" s="110">
        <f t="shared" si="0"/>
        <v>0.22440002390234223</v>
      </c>
      <c r="E10" s="48">
        <v>5110799</v>
      </c>
      <c r="F10" s="110">
        <f t="shared" si="1"/>
        <v>0.15522291750137826</v>
      </c>
      <c r="G10" s="60">
        <v>4207490</v>
      </c>
      <c r="H10" s="110">
        <f t="shared" si="2"/>
        <v>0.1725043168206028</v>
      </c>
      <c r="I10" s="108">
        <v>2265243</v>
      </c>
      <c r="J10" s="110">
        <f t="shared" si="3"/>
        <v>0.12638257609465278</v>
      </c>
      <c r="K10" s="60">
        <v>2458944</v>
      </c>
      <c r="L10" s="110">
        <f t="shared" si="4"/>
        <v>0.1334377054486857</v>
      </c>
      <c r="M10" s="60">
        <v>1913472</v>
      </c>
      <c r="N10" s="110">
        <f t="shared" si="5"/>
        <v>0.10589798125664086</v>
      </c>
      <c r="O10" s="14"/>
      <c r="Q10" s="25"/>
    </row>
    <row r="11" spans="2:17" ht="12.75">
      <c r="B11" s="39" t="s">
        <v>0</v>
      </c>
      <c r="C11" s="82">
        <v>80046</v>
      </c>
      <c r="D11" s="110">
        <f t="shared" si="0"/>
        <v>0.002143018465308995</v>
      </c>
      <c r="E11" s="48">
        <v>0</v>
      </c>
      <c r="F11" s="110">
        <f t="shared" si="1"/>
        <v>0</v>
      </c>
      <c r="G11" s="60">
        <v>0</v>
      </c>
      <c r="H11" s="110">
        <f t="shared" si="2"/>
        <v>0</v>
      </c>
      <c r="I11" s="108">
        <v>0</v>
      </c>
      <c r="J11" s="110">
        <f t="shared" si="3"/>
        <v>0</v>
      </c>
      <c r="K11" s="60">
        <v>0</v>
      </c>
      <c r="L11" s="110">
        <f t="shared" si="4"/>
        <v>0</v>
      </c>
      <c r="M11" s="60">
        <v>0</v>
      </c>
      <c r="N11" s="110">
        <f t="shared" si="5"/>
        <v>0</v>
      </c>
      <c r="O11" s="14"/>
      <c r="Q11" s="18"/>
    </row>
    <row r="12" spans="1:17" ht="12.75">
      <c r="A12" s="28"/>
      <c r="B12" s="39" t="s">
        <v>78</v>
      </c>
      <c r="C12" s="82">
        <v>487294</v>
      </c>
      <c r="D12" s="111">
        <f t="shared" si="0"/>
        <v>0.013045999050974208</v>
      </c>
      <c r="E12" s="48">
        <v>434102</v>
      </c>
      <c r="F12" s="110">
        <f t="shared" si="1"/>
        <v>0.013184353157536289</v>
      </c>
      <c r="G12" s="60">
        <v>163495</v>
      </c>
      <c r="H12" s="110">
        <f t="shared" si="2"/>
        <v>0.0067031872395619365</v>
      </c>
      <c r="I12" s="108">
        <v>53669</v>
      </c>
      <c r="J12" s="110">
        <f t="shared" si="3"/>
        <v>0.00299430413267977</v>
      </c>
      <c r="K12" s="60">
        <v>93319</v>
      </c>
      <c r="L12" s="110">
        <f t="shared" si="4"/>
        <v>0.005064073535129673</v>
      </c>
      <c r="M12" s="60">
        <v>85376</v>
      </c>
      <c r="N12" s="110">
        <f t="shared" si="5"/>
        <v>0.004724995216949592</v>
      </c>
      <c r="O12" s="14"/>
      <c r="Q12" s="25"/>
    </row>
    <row r="13" spans="1:17" ht="12.75">
      <c r="A13" s="88"/>
      <c r="B13" s="92"/>
      <c r="C13" s="93">
        <f>SUM(C8:C12)</f>
        <v>11593178</v>
      </c>
      <c r="D13" s="110">
        <f t="shared" si="0"/>
        <v>0.310376465102741</v>
      </c>
      <c r="E13" s="93">
        <f aca="true" t="shared" si="6" ref="E13:M13">SUM(E8:E12)</f>
        <v>9299973</v>
      </c>
      <c r="F13" s="113">
        <f t="shared" si="1"/>
        <v>0.2824546498001673</v>
      </c>
      <c r="G13" s="93">
        <f t="shared" si="6"/>
        <v>9459846</v>
      </c>
      <c r="H13" s="113">
        <f t="shared" si="2"/>
        <v>0.3878474509643783</v>
      </c>
      <c r="I13" s="93">
        <f t="shared" si="6"/>
        <v>2804574</v>
      </c>
      <c r="J13" s="113">
        <f t="shared" si="3"/>
        <v>0.15647296425508644</v>
      </c>
      <c r="K13" s="93">
        <f t="shared" si="6"/>
        <v>3272334</v>
      </c>
      <c r="L13" s="113">
        <f t="shared" si="4"/>
        <v>0.17757734231512365</v>
      </c>
      <c r="M13" s="93">
        <f t="shared" si="6"/>
        <v>3143475</v>
      </c>
      <c r="N13" s="113">
        <f t="shared" si="5"/>
        <v>0.17397048748595179</v>
      </c>
      <c r="O13" s="16"/>
      <c r="P13" s="24"/>
      <c r="Q13" s="25"/>
    </row>
    <row r="14" spans="3:17" ht="12.75">
      <c r="C14" s="35"/>
      <c r="D14" s="110"/>
      <c r="F14" s="110"/>
      <c r="G14" s="28"/>
      <c r="H14" s="110"/>
      <c r="I14" s="28"/>
      <c r="J14" s="110"/>
      <c r="K14" s="28"/>
      <c r="L14" s="110"/>
      <c r="M14" s="28"/>
      <c r="N14" s="110"/>
      <c r="O14" s="14"/>
      <c r="P14" s="24"/>
      <c r="Q14" s="25"/>
    </row>
    <row r="15" spans="1:17" ht="12.75">
      <c r="A15" s="39" t="s">
        <v>125</v>
      </c>
      <c r="B15" s="39"/>
      <c r="C15" s="35">
        <v>17687452</v>
      </c>
      <c r="D15" s="110">
        <f t="shared" si="0"/>
        <v>0.4735344207114224</v>
      </c>
      <c r="E15" s="48">
        <v>15518419</v>
      </c>
      <c r="F15" s="110">
        <f t="shared" si="1"/>
        <v>0.471318530075008</v>
      </c>
      <c r="G15" s="60">
        <v>9510725</v>
      </c>
      <c r="H15" s="110">
        <f t="shared" si="2"/>
        <v>0.3899334564297544</v>
      </c>
      <c r="I15" s="108">
        <v>9590362</v>
      </c>
      <c r="J15" s="110">
        <f t="shared" si="3"/>
        <v>0.5350660636586303</v>
      </c>
      <c r="K15" s="60">
        <v>9972476</v>
      </c>
      <c r="L15" s="110">
        <f t="shared" si="4"/>
        <v>0.5411690201493353</v>
      </c>
      <c r="M15" s="60">
        <v>9887089</v>
      </c>
      <c r="N15" s="110">
        <f t="shared" si="5"/>
        <v>0.5471847853560126</v>
      </c>
      <c r="O15" s="14"/>
      <c r="P15" s="24"/>
      <c r="Q15" s="25"/>
    </row>
    <row r="16" spans="1:17" ht="12.75">
      <c r="A16" s="39" t="s">
        <v>126</v>
      </c>
      <c r="B16" s="39"/>
      <c r="C16" s="35">
        <v>0</v>
      </c>
      <c r="D16" s="110">
        <f t="shared" si="0"/>
        <v>0</v>
      </c>
      <c r="E16" s="48">
        <v>0</v>
      </c>
      <c r="F16" s="110">
        <f t="shared" si="1"/>
        <v>0</v>
      </c>
      <c r="G16" s="60">
        <v>128175</v>
      </c>
      <c r="H16" s="110">
        <f t="shared" si="2"/>
        <v>0.005255090519164814</v>
      </c>
      <c r="I16" s="107">
        <v>0</v>
      </c>
      <c r="J16" s="110">
        <f t="shared" si="3"/>
        <v>0</v>
      </c>
      <c r="K16" s="107">
        <v>0</v>
      </c>
      <c r="L16" s="110">
        <f t="shared" si="4"/>
        <v>0</v>
      </c>
      <c r="M16" s="107">
        <v>0</v>
      </c>
      <c r="N16" s="110">
        <f t="shared" si="5"/>
        <v>0</v>
      </c>
      <c r="O16" s="14"/>
      <c r="P16" s="24"/>
      <c r="Q16" s="25"/>
    </row>
    <row r="17" spans="1:17" ht="12.75">
      <c r="A17" s="39" t="s">
        <v>127</v>
      </c>
      <c r="B17" s="39"/>
      <c r="C17" s="35">
        <v>79190</v>
      </c>
      <c r="D17" s="110">
        <f t="shared" si="0"/>
        <v>0.002120101345074324</v>
      </c>
      <c r="E17" s="48">
        <v>103390</v>
      </c>
      <c r="F17" s="110">
        <f t="shared" si="1"/>
        <v>0.0031401151640805085</v>
      </c>
      <c r="G17" s="60">
        <v>0</v>
      </c>
      <c r="H17" s="110">
        <f t="shared" si="2"/>
        <v>0</v>
      </c>
      <c r="I17" s="107">
        <v>0</v>
      </c>
      <c r="J17" s="110">
        <f t="shared" si="3"/>
        <v>0</v>
      </c>
      <c r="K17" s="107">
        <v>0</v>
      </c>
      <c r="L17" s="110">
        <f t="shared" si="4"/>
        <v>0</v>
      </c>
      <c r="M17" s="107">
        <v>0</v>
      </c>
      <c r="N17" s="110">
        <f t="shared" si="5"/>
        <v>0</v>
      </c>
      <c r="O17" s="14"/>
      <c r="P17" s="24"/>
      <c r="Q17" s="25"/>
    </row>
    <row r="18" spans="1:17" ht="12.75">
      <c r="A18" s="39" t="s">
        <v>128</v>
      </c>
      <c r="B18" s="39"/>
      <c r="C18" s="35">
        <v>5407021</v>
      </c>
      <c r="D18" s="110">
        <f t="shared" si="0"/>
        <v>0.14475858687896345</v>
      </c>
      <c r="E18" s="48">
        <v>5253526</v>
      </c>
      <c r="F18" s="110">
        <f t="shared" si="1"/>
        <v>0.15955775855973708</v>
      </c>
      <c r="G18" s="60">
        <v>5108794</v>
      </c>
      <c r="H18" s="110">
        <f t="shared" si="2"/>
        <v>0.20945718676626554</v>
      </c>
      <c r="I18" s="108">
        <v>5061530</v>
      </c>
      <c r="J18" s="110">
        <f t="shared" si="3"/>
        <v>0.2823931915385537</v>
      </c>
      <c r="K18" s="60">
        <v>4948611</v>
      </c>
      <c r="L18" s="110">
        <f t="shared" si="4"/>
        <v>0.2685426333410301</v>
      </c>
      <c r="M18" s="60">
        <v>4921668</v>
      </c>
      <c r="N18" s="110">
        <f t="shared" si="5"/>
        <v>0.27238167353136555</v>
      </c>
      <c r="O18" s="14"/>
      <c r="P18" s="24"/>
      <c r="Q18" s="25"/>
    </row>
    <row r="19" spans="1:17" ht="12.75">
      <c r="A19" s="39" t="s">
        <v>129</v>
      </c>
      <c r="B19" s="39"/>
      <c r="C19" s="35">
        <v>637603</v>
      </c>
      <c r="D19" s="110">
        <f t="shared" si="0"/>
        <v>0.017070122211433565</v>
      </c>
      <c r="E19" s="48">
        <v>373871</v>
      </c>
      <c r="F19" s="110">
        <f t="shared" si="1"/>
        <v>0.01135504397436835</v>
      </c>
      <c r="G19" s="60">
        <v>183096</v>
      </c>
      <c r="H19" s="110">
        <f t="shared" si="2"/>
        <v>0.007506815320436909</v>
      </c>
      <c r="I19" s="108">
        <v>467231</v>
      </c>
      <c r="J19" s="110">
        <f t="shared" si="3"/>
        <v>0.026067780547729635</v>
      </c>
      <c r="K19" s="60">
        <v>234234</v>
      </c>
      <c r="L19" s="110">
        <f t="shared" si="4"/>
        <v>0.012711004194510912</v>
      </c>
      <c r="M19" s="60">
        <v>116781</v>
      </c>
      <c r="N19" s="110">
        <f t="shared" si="5"/>
        <v>0.006463053626670145</v>
      </c>
      <c r="O19" s="14"/>
      <c r="P19" s="24"/>
      <c r="Q19" s="25"/>
    </row>
    <row r="20" spans="1:17" ht="12.75">
      <c r="A20" s="39" t="s">
        <v>130</v>
      </c>
      <c r="B20" s="39"/>
      <c r="C20" s="35">
        <v>242500</v>
      </c>
      <c r="D20" s="110">
        <f t="shared" si="0"/>
        <v>0.006492291655266113</v>
      </c>
      <c r="E20" s="48">
        <v>272500</v>
      </c>
      <c r="F20" s="110">
        <f t="shared" si="1"/>
        <v>0.008276248981641731</v>
      </c>
      <c r="G20" s="60">
        <v>0</v>
      </c>
      <c r="H20" s="110">
        <f t="shared" si="2"/>
        <v>0</v>
      </c>
      <c r="I20" s="107">
        <v>0</v>
      </c>
      <c r="J20" s="110">
        <f t="shared" si="3"/>
        <v>0</v>
      </c>
      <c r="K20" s="107">
        <v>0</v>
      </c>
      <c r="L20" s="110">
        <f t="shared" si="4"/>
        <v>0</v>
      </c>
      <c r="M20" s="107">
        <v>0</v>
      </c>
      <c r="N20" s="110">
        <f t="shared" si="5"/>
        <v>0</v>
      </c>
      <c r="O20" s="14"/>
      <c r="P20" s="24"/>
      <c r="Q20" s="25"/>
    </row>
    <row r="21" spans="1:17" ht="12.75">
      <c r="A21" s="51" t="s">
        <v>0</v>
      </c>
      <c r="B21" s="51"/>
      <c r="C21" s="33">
        <v>1705044</v>
      </c>
      <c r="D21" s="111">
        <f t="shared" si="0"/>
        <v>0.045648012095099194</v>
      </c>
      <c r="E21" s="53">
        <v>2103865</v>
      </c>
      <c r="F21" s="111">
        <f t="shared" si="1"/>
        <v>0.063897653444997</v>
      </c>
      <c r="G21" s="53">
        <v>0</v>
      </c>
      <c r="H21" s="111">
        <f t="shared" si="2"/>
        <v>0</v>
      </c>
      <c r="I21" s="95">
        <v>0</v>
      </c>
      <c r="J21" s="111">
        <f t="shared" si="3"/>
        <v>0</v>
      </c>
      <c r="K21" s="95">
        <v>0</v>
      </c>
      <c r="L21" s="111">
        <f t="shared" si="4"/>
        <v>0</v>
      </c>
      <c r="M21" s="95">
        <v>0</v>
      </c>
      <c r="N21" s="111">
        <f t="shared" si="5"/>
        <v>0</v>
      </c>
      <c r="O21" s="16"/>
      <c r="P21" s="20"/>
      <c r="Q21" s="21"/>
    </row>
    <row r="22" spans="1:17" ht="12.75">
      <c r="A22" s="39"/>
      <c r="B22" s="39"/>
      <c r="C22" s="83">
        <f>SUM(C15:C21)</f>
        <v>25758810</v>
      </c>
      <c r="D22" s="110">
        <f t="shared" si="0"/>
        <v>0.689623534897259</v>
      </c>
      <c r="E22" s="83">
        <f aca="true" t="shared" si="7" ref="E22:M22">SUM(E15:E21)</f>
        <v>23625571</v>
      </c>
      <c r="F22" s="110">
        <f t="shared" si="1"/>
        <v>0.7175453501998327</v>
      </c>
      <c r="G22" s="89">
        <f t="shared" si="7"/>
        <v>14930790</v>
      </c>
      <c r="H22" s="110">
        <f t="shared" si="2"/>
        <v>0.6121525490356217</v>
      </c>
      <c r="I22" s="89">
        <f t="shared" si="7"/>
        <v>15119123</v>
      </c>
      <c r="J22" s="110">
        <f t="shared" si="3"/>
        <v>0.8435270357449136</v>
      </c>
      <c r="K22" s="89">
        <f t="shared" si="7"/>
        <v>15155321</v>
      </c>
      <c r="L22" s="110">
        <f t="shared" si="4"/>
        <v>0.8224226576848763</v>
      </c>
      <c r="M22" s="89">
        <f t="shared" si="7"/>
        <v>14925538</v>
      </c>
      <c r="N22" s="110">
        <f t="shared" si="5"/>
        <v>0.8260295125140482</v>
      </c>
      <c r="O22" s="15"/>
      <c r="P22" s="19"/>
      <c r="Q22" s="19"/>
    </row>
    <row r="23" spans="1:17" ht="12.75">
      <c r="A23" s="39"/>
      <c r="B23" s="39"/>
      <c r="C23" s="35"/>
      <c r="D23" s="110"/>
      <c r="E23" s="80"/>
      <c r="F23" s="111"/>
      <c r="G23" s="80"/>
      <c r="H23" s="111"/>
      <c r="I23" s="80"/>
      <c r="J23" s="111"/>
      <c r="K23" s="80"/>
      <c r="L23" s="111"/>
      <c r="M23" s="80"/>
      <c r="N23" s="111"/>
      <c r="O23" s="14"/>
      <c r="P23" s="19"/>
      <c r="Q23" s="19"/>
    </row>
    <row r="24" spans="1:17" ht="12.75">
      <c r="A24" s="92"/>
      <c r="B24" s="92"/>
      <c r="C24" s="93">
        <f>C22+C13</f>
        <v>37351988</v>
      </c>
      <c r="D24" s="113">
        <f>C24/$C$24</f>
        <v>1</v>
      </c>
      <c r="E24" s="93">
        <f aca="true" t="shared" si="8" ref="E24:M24">E22+E13</f>
        <v>32925544</v>
      </c>
      <c r="F24" s="113">
        <f>E24/$E$24</f>
        <v>1</v>
      </c>
      <c r="G24" s="93">
        <f t="shared" si="8"/>
        <v>24390636</v>
      </c>
      <c r="H24" s="113">
        <f>G24/$G$24</f>
        <v>1</v>
      </c>
      <c r="I24" s="93">
        <f t="shared" si="8"/>
        <v>17923697</v>
      </c>
      <c r="J24" s="113">
        <f>I24/$I$24</f>
        <v>1</v>
      </c>
      <c r="K24" s="93">
        <f t="shared" si="8"/>
        <v>18427655</v>
      </c>
      <c r="L24" s="113">
        <f>K24/$K$24</f>
        <v>1</v>
      </c>
      <c r="M24" s="93">
        <f t="shared" si="8"/>
        <v>18069013</v>
      </c>
      <c r="N24" s="113">
        <f>M24/$M$24</f>
        <v>1</v>
      </c>
      <c r="O24" s="14"/>
      <c r="P24" s="20"/>
      <c r="Q24" s="21"/>
    </row>
    <row r="25" spans="1:17" ht="12.75">
      <c r="A25" s="41"/>
      <c r="B25" s="41"/>
      <c r="C25" s="33"/>
      <c r="D25" s="33"/>
      <c r="E25" s="53"/>
      <c r="F25" s="139"/>
      <c r="G25" s="53"/>
      <c r="H25" s="139"/>
      <c r="I25" s="100"/>
      <c r="J25" s="100"/>
      <c r="K25" s="95"/>
      <c r="L25" s="95"/>
      <c r="M25" s="95"/>
      <c r="N25" s="32"/>
      <c r="O25" s="14"/>
      <c r="P25" s="24"/>
      <c r="Q25" s="25"/>
    </row>
    <row r="26" spans="1:17" ht="12.75">
      <c r="A26" s="96" t="s">
        <v>1</v>
      </c>
      <c r="B26" s="39"/>
      <c r="C26" s="35"/>
      <c r="D26" s="35"/>
      <c r="E26" s="63"/>
      <c r="F26" s="106"/>
      <c r="G26" s="63"/>
      <c r="H26" s="106"/>
      <c r="I26" s="63"/>
      <c r="J26" s="63"/>
      <c r="K26" s="63"/>
      <c r="L26" s="63"/>
      <c r="M26" s="63"/>
      <c r="O26" s="14"/>
      <c r="P26" s="24"/>
      <c r="Q26" s="25"/>
    </row>
    <row r="27" spans="1:17" ht="12.75">
      <c r="A27" s="39" t="s">
        <v>2</v>
      </c>
      <c r="B27" s="39"/>
      <c r="C27" s="35"/>
      <c r="D27" s="35"/>
      <c r="E27" s="81"/>
      <c r="F27" s="106"/>
      <c r="G27" s="81"/>
      <c r="H27" s="106"/>
      <c r="I27" s="63"/>
      <c r="J27" s="63"/>
      <c r="K27" s="63"/>
      <c r="L27" s="63"/>
      <c r="M27" s="63"/>
      <c r="O27" s="16"/>
      <c r="P27" s="24"/>
      <c r="Q27" s="25"/>
    </row>
    <row r="28" spans="2:17" ht="12.75">
      <c r="B28" s="79" t="s">
        <v>13</v>
      </c>
      <c r="C28" s="35">
        <v>0</v>
      </c>
      <c r="D28" s="110">
        <f aca="true" t="shared" si="9" ref="D28:D45">C28/$C$47</f>
        <v>0</v>
      </c>
      <c r="E28" s="63">
        <v>0</v>
      </c>
      <c r="F28" s="110">
        <f aca="true" t="shared" si="10" ref="F28:F45">E28/$E$47</f>
        <v>0</v>
      </c>
      <c r="G28" s="107">
        <v>0</v>
      </c>
      <c r="H28" s="110">
        <f aca="true" t="shared" si="11" ref="H28:H45">G28/$G$47</f>
        <v>0</v>
      </c>
      <c r="I28" s="108">
        <v>807232</v>
      </c>
      <c r="J28" s="110">
        <f aca="true" t="shared" si="12" ref="J28:J45">I28/$I$47</f>
        <v>0.04503713714865856</v>
      </c>
      <c r="K28" s="60">
        <v>1307801</v>
      </c>
      <c r="L28" s="110">
        <f aca="true" t="shared" si="13" ref="L28:L45">K28/$K$47</f>
        <v>0.07096947495489796</v>
      </c>
      <c r="M28" s="60">
        <v>1554242</v>
      </c>
      <c r="N28" s="110">
        <f aca="true" t="shared" si="14" ref="N28:N45">M28/$M$47</f>
        <v>0.08596940552009116</v>
      </c>
      <c r="O28" s="14"/>
      <c r="P28" s="24"/>
      <c r="Q28" s="25"/>
    </row>
    <row r="29" spans="2:17" ht="12.75">
      <c r="B29" s="39" t="s">
        <v>81</v>
      </c>
      <c r="C29" s="82">
        <v>3911922</v>
      </c>
      <c r="D29" s="110">
        <f t="shared" si="9"/>
        <v>0.10473129301712134</v>
      </c>
      <c r="E29" s="48">
        <v>5410546</v>
      </c>
      <c r="F29" s="110">
        <f t="shared" si="10"/>
        <v>0.16432670026651647</v>
      </c>
      <c r="G29" s="60">
        <v>3274529</v>
      </c>
      <c r="H29" s="110">
        <f t="shared" si="11"/>
        <v>0.13425353074023982</v>
      </c>
      <c r="I29" s="108">
        <v>4702030</v>
      </c>
      <c r="J29" s="110">
        <f t="shared" si="12"/>
        <v>0.2623359455362362</v>
      </c>
      <c r="K29" s="60">
        <v>5174410</v>
      </c>
      <c r="L29" s="110">
        <f t="shared" si="13"/>
        <v>0.2807959015946413</v>
      </c>
      <c r="M29" s="60">
        <v>2852337</v>
      </c>
      <c r="N29" s="110">
        <f t="shared" si="14"/>
        <v>0.15777061502195944</v>
      </c>
      <c r="O29" s="14"/>
      <c r="P29" s="24"/>
      <c r="Q29" s="25"/>
    </row>
    <row r="30" spans="2:17" ht="12.75">
      <c r="B30" s="39" t="s">
        <v>3</v>
      </c>
      <c r="C30" s="82">
        <v>890400</v>
      </c>
      <c r="D30" s="110">
        <f t="shared" si="9"/>
        <v>0.0238380886179338</v>
      </c>
      <c r="E30" s="48">
        <v>476400</v>
      </c>
      <c r="F30" s="110">
        <f t="shared" si="10"/>
        <v>0.01446900922882246</v>
      </c>
      <c r="G30" s="60">
        <v>300000</v>
      </c>
      <c r="H30" s="110">
        <f t="shared" si="11"/>
        <v>0.012299802268378733</v>
      </c>
      <c r="I30" s="108">
        <v>271428</v>
      </c>
      <c r="J30" s="110">
        <f t="shared" si="12"/>
        <v>0.01514352758808632</v>
      </c>
      <c r="K30" s="60">
        <v>271428</v>
      </c>
      <c r="L30" s="110">
        <f t="shared" si="13"/>
        <v>0.014729383635628082</v>
      </c>
      <c r="M30" s="60">
        <v>461023</v>
      </c>
      <c r="N30" s="110">
        <f t="shared" si="14"/>
        <v>0.02550045182223167</v>
      </c>
      <c r="O30" s="14"/>
      <c r="P30" s="19"/>
      <c r="Q30" s="19"/>
    </row>
    <row r="31" spans="1:17" ht="12.75">
      <c r="A31" s="28"/>
      <c r="B31" s="51" t="s">
        <v>4</v>
      </c>
      <c r="C31" s="102">
        <v>204119</v>
      </c>
      <c r="D31" s="111">
        <f t="shared" si="9"/>
        <v>0.005464742599510366</v>
      </c>
      <c r="E31" s="53">
        <v>100462</v>
      </c>
      <c r="F31" s="110">
        <f t="shared" si="10"/>
        <v>0.003051187248417217</v>
      </c>
      <c r="G31" s="60">
        <v>30599</v>
      </c>
      <c r="H31" s="110">
        <f t="shared" si="11"/>
        <v>0.0012545388320337363</v>
      </c>
      <c r="I31" s="107">
        <v>0</v>
      </c>
      <c r="J31" s="110">
        <f t="shared" si="12"/>
        <v>0</v>
      </c>
      <c r="K31" s="107">
        <v>0</v>
      </c>
      <c r="L31" s="110">
        <f t="shared" si="13"/>
        <v>0</v>
      </c>
      <c r="M31" s="60">
        <v>0</v>
      </c>
      <c r="N31" s="110">
        <f t="shared" si="14"/>
        <v>0</v>
      </c>
      <c r="O31" s="14"/>
      <c r="P31" s="24"/>
      <c r="Q31" s="25"/>
    </row>
    <row r="32" spans="1:17" ht="12.75">
      <c r="A32" s="37"/>
      <c r="B32" s="37"/>
      <c r="C32" s="83">
        <f>SUM(C28:C31)</f>
        <v>5006441</v>
      </c>
      <c r="D32" s="110">
        <f t="shared" si="9"/>
        <v>0.1340341242345655</v>
      </c>
      <c r="E32" s="83">
        <f aca="true" t="shared" si="15" ref="E32:M32">SUM(E28:E31)</f>
        <v>5987408</v>
      </c>
      <c r="F32" s="113">
        <f t="shared" si="10"/>
        <v>0.18184689674375615</v>
      </c>
      <c r="G32" s="93">
        <f t="shared" si="15"/>
        <v>3605128</v>
      </c>
      <c r="H32" s="113">
        <f t="shared" si="11"/>
        <v>0.14780787184065228</v>
      </c>
      <c r="I32" s="93">
        <f t="shared" si="15"/>
        <v>5780690</v>
      </c>
      <c r="J32" s="113">
        <f t="shared" si="12"/>
        <v>0.32251661027298106</v>
      </c>
      <c r="K32" s="93">
        <f t="shared" si="15"/>
        <v>6753639</v>
      </c>
      <c r="L32" s="113">
        <f t="shared" si="13"/>
        <v>0.36649476018516736</v>
      </c>
      <c r="M32" s="93">
        <f t="shared" si="15"/>
        <v>4867602</v>
      </c>
      <c r="N32" s="113">
        <f t="shared" si="14"/>
        <v>0.2692404723642823</v>
      </c>
      <c r="O32" s="14"/>
      <c r="P32" s="24"/>
      <c r="Q32" s="25"/>
    </row>
    <row r="33" spans="1:17" ht="12.75">
      <c r="A33" s="37"/>
      <c r="B33" s="37"/>
      <c r="C33" s="35"/>
      <c r="D33" s="110"/>
      <c r="E33" s="80"/>
      <c r="F33" s="110"/>
      <c r="G33" s="90"/>
      <c r="H33" s="110"/>
      <c r="I33" s="91"/>
      <c r="J33" s="110"/>
      <c r="K33" s="90"/>
      <c r="L33" s="110"/>
      <c r="M33" s="90"/>
      <c r="N33" s="110"/>
      <c r="O33" s="14"/>
      <c r="P33" s="22"/>
      <c r="Q33" s="23"/>
    </row>
    <row r="34" spans="1:17" ht="12.75">
      <c r="A34" s="39" t="s">
        <v>6</v>
      </c>
      <c r="B34" s="39"/>
      <c r="C34" s="82">
        <v>3898500</v>
      </c>
      <c r="D34" s="110">
        <f t="shared" si="9"/>
        <v>0.10437195471362863</v>
      </c>
      <c r="E34" s="48">
        <v>2988700</v>
      </c>
      <c r="F34" s="110">
        <f t="shared" si="10"/>
        <v>0.09077146910617483</v>
      </c>
      <c r="G34" s="60">
        <v>2550000</v>
      </c>
      <c r="H34" s="110">
        <f t="shared" si="11"/>
        <v>0.10454831928121923</v>
      </c>
      <c r="I34" s="108">
        <v>2844049</v>
      </c>
      <c r="J34" s="110">
        <f t="shared" si="12"/>
        <v>0.1586753558710572</v>
      </c>
      <c r="K34" s="60">
        <v>3115477</v>
      </c>
      <c r="L34" s="110">
        <f t="shared" si="13"/>
        <v>0.16906529886738167</v>
      </c>
      <c r="M34" s="60">
        <v>2429105</v>
      </c>
      <c r="N34" s="110">
        <f t="shared" si="14"/>
        <v>0.13436048748900176</v>
      </c>
      <c r="O34" s="16"/>
      <c r="P34" s="24"/>
      <c r="Q34" s="25"/>
    </row>
    <row r="35" spans="1:17" ht="12.75">
      <c r="A35" s="39" t="s">
        <v>7</v>
      </c>
      <c r="B35" s="39"/>
      <c r="C35" s="82">
        <v>557136</v>
      </c>
      <c r="D35" s="110">
        <f t="shared" si="9"/>
        <v>0.014915832592364293</v>
      </c>
      <c r="E35" s="48">
        <v>103798</v>
      </c>
      <c r="F35" s="110">
        <f t="shared" si="10"/>
        <v>0.0031525067588860493</v>
      </c>
      <c r="G35" s="60">
        <v>37876</v>
      </c>
      <c r="H35" s="110">
        <f t="shared" si="11"/>
        <v>0.0015528910357237096</v>
      </c>
      <c r="I35" s="107">
        <v>0</v>
      </c>
      <c r="J35" s="110">
        <f t="shared" si="12"/>
        <v>0</v>
      </c>
      <c r="K35" s="107">
        <v>0</v>
      </c>
      <c r="L35" s="110">
        <f t="shared" si="13"/>
        <v>0</v>
      </c>
      <c r="M35" s="107">
        <v>0</v>
      </c>
      <c r="N35" s="110">
        <f t="shared" si="14"/>
        <v>0</v>
      </c>
      <c r="O35" s="14"/>
      <c r="P35" s="19"/>
      <c r="Q35" s="19"/>
    </row>
    <row r="36" spans="1:17" ht="12.75">
      <c r="A36" s="101" t="s">
        <v>14</v>
      </c>
      <c r="B36" s="101"/>
      <c r="C36" s="33">
        <v>0</v>
      </c>
      <c r="D36" s="111">
        <f t="shared" si="9"/>
        <v>0</v>
      </c>
      <c r="E36" s="53">
        <v>0</v>
      </c>
      <c r="F36" s="111">
        <f t="shared" si="10"/>
        <v>0</v>
      </c>
      <c r="G36" s="53">
        <v>0</v>
      </c>
      <c r="H36" s="111">
        <f t="shared" si="11"/>
        <v>0</v>
      </c>
      <c r="I36" s="100">
        <v>648195</v>
      </c>
      <c r="J36" s="111">
        <f t="shared" si="12"/>
        <v>0.03616413511118828</v>
      </c>
      <c r="K36" s="53">
        <v>0</v>
      </c>
      <c r="L36" s="111">
        <f t="shared" si="13"/>
        <v>0</v>
      </c>
      <c r="M36" s="95">
        <v>0</v>
      </c>
      <c r="N36" s="111">
        <f t="shared" si="14"/>
        <v>0</v>
      </c>
      <c r="O36" s="16"/>
      <c r="P36" s="20"/>
      <c r="Q36" s="21"/>
    </row>
    <row r="37" spans="1:17" ht="12.75">
      <c r="A37" s="39"/>
      <c r="B37" s="39"/>
      <c r="C37" s="83">
        <f>SUM(C34:C36)</f>
        <v>4455636</v>
      </c>
      <c r="D37" s="110">
        <f t="shared" si="9"/>
        <v>0.11928778730599292</v>
      </c>
      <c r="E37" s="83">
        <f aca="true" t="shared" si="16" ref="E37:M37">SUM(E34:E36)</f>
        <v>3092498</v>
      </c>
      <c r="F37" s="110">
        <f t="shared" si="10"/>
        <v>0.09392397586506088</v>
      </c>
      <c r="G37" s="89">
        <f t="shared" si="16"/>
        <v>2587876</v>
      </c>
      <c r="H37" s="110">
        <f t="shared" si="11"/>
        <v>0.10610121031694295</v>
      </c>
      <c r="I37" s="89">
        <f t="shared" si="16"/>
        <v>3492244</v>
      </c>
      <c r="J37" s="110">
        <f t="shared" si="12"/>
        <v>0.19483949098224546</v>
      </c>
      <c r="K37" s="89">
        <f t="shared" si="16"/>
        <v>3115477</v>
      </c>
      <c r="L37" s="110">
        <f t="shared" si="13"/>
        <v>0.16906529886738167</v>
      </c>
      <c r="M37" s="89">
        <f t="shared" si="16"/>
        <v>2429105</v>
      </c>
      <c r="N37" s="110">
        <f t="shared" si="14"/>
        <v>0.13436048748900176</v>
      </c>
      <c r="O37" s="16"/>
      <c r="P37" s="19"/>
      <c r="Q37" s="19"/>
    </row>
    <row r="38" spans="1:17" ht="12.75">
      <c r="A38" s="51"/>
      <c r="B38" s="51"/>
      <c r="C38" s="33"/>
      <c r="D38" s="111"/>
      <c r="E38" s="87"/>
      <c r="F38" s="110"/>
      <c r="G38" s="90"/>
      <c r="H38" s="110"/>
      <c r="I38" s="90"/>
      <c r="J38" s="110"/>
      <c r="K38" s="90"/>
      <c r="L38" s="110"/>
      <c r="M38" s="90"/>
      <c r="N38" s="110"/>
      <c r="O38" s="16"/>
      <c r="P38" s="19"/>
      <c r="Q38" s="19"/>
    </row>
    <row r="39" spans="1:17" ht="12.75">
      <c r="A39" s="39" t="s">
        <v>15</v>
      </c>
      <c r="B39" s="39"/>
      <c r="C39" s="83">
        <f>C32+C37</f>
        <v>9462077</v>
      </c>
      <c r="D39" s="110">
        <f t="shared" si="9"/>
        <v>0.25332191154055844</v>
      </c>
      <c r="E39" s="83">
        <f aca="true" t="shared" si="17" ref="E39:M39">E32+E37</f>
        <v>9079906</v>
      </c>
      <c r="F39" s="113">
        <f t="shared" si="10"/>
        <v>0.27577087260881705</v>
      </c>
      <c r="G39" s="93">
        <f t="shared" si="17"/>
        <v>6193004</v>
      </c>
      <c r="H39" s="113">
        <f t="shared" si="11"/>
        <v>0.2539090821575952</v>
      </c>
      <c r="I39" s="93">
        <f t="shared" si="17"/>
        <v>9272934</v>
      </c>
      <c r="J39" s="113">
        <f t="shared" si="12"/>
        <v>0.5173561012552266</v>
      </c>
      <c r="K39" s="93">
        <f t="shared" si="17"/>
        <v>9869116</v>
      </c>
      <c r="L39" s="113">
        <f t="shared" si="13"/>
        <v>0.535560059052549</v>
      </c>
      <c r="M39" s="93">
        <f t="shared" si="17"/>
        <v>7296707</v>
      </c>
      <c r="N39" s="113">
        <f t="shared" si="14"/>
        <v>0.40360095985328404</v>
      </c>
      <c r="O39" s="14"/>
      <c r="P39" s="19"/>
      <c r="Q39" s="19"/>
    </row>
    <row r="40" spans="1:17" ht="12.75">
      <c r="A40" s="39"/>
      <c r="B40" s="39"/>
      <c r="C40" s="35"/>
      <c r="D40" s="110"/>
      <c r="E40" s="80"/>
      <c r="F40" s="110"/>
      <c r="G40" s="90"/>
      <c r="H40" s="110"/>
      <c r="I40" s="90"/>
      <c r="J40" s="110"/>
      <c r="K40" s="90"/>
      <c r="L40" s="110"/>
      <c r="M40" s="90"/>
      <c r="N40" s="110"/>
      <c r="O40" s="16"/>
      <c r="P40" s="19"/>
      <c r="Q40" s="19"/>
    </row>
    <row r="41" spans="1:14" ht="12.75">
      <c r="A41" s="69" t="s">
        <v>8</v>
      </c>
      <c r="B41" s="69"/>
      <c r="C41" s="137"/>
      <c r="D41" s="113"/>
      <c r="E41" s="136"/>
      <c r="F41" s="113"/>
      <c r="G41" s="136"/>
      <c r="H41" s="113"/>
      <c r="I41" s="136"/>
      <c r="J41" s="113"/>
      <c r="K41" s="136"/>
      <c r="L41" s="113"/>
      <c r="M41" s="136"/>
      <c r="N41" s="113"/>
    </row>
    <row r="42" spans="1:14" ht="12.75">
      <c r="A42" s="28"/>
      <c r="B42" s="58" t="s">
        <v>9</v>
      </c>
      <c r="C42" s="138">
        <v>31503655</v>
      </c>
      <c r="D42" s="110">
        <f t="shared" si="9"/>
        <v>0.8434264596572477</v>
      </c>
      <c r="E42" s="60">
        <v>27717122</v>
      </c>
      <c r="F42" s="110">
        <f t="shared" si="10"/>
        <v>0.841812120097393</v>
      </c>
      <c r="G42" s="60">
        <v>27060076</v>
      </c>
      <c r="H42" s="110">
        <f t="shared" si="11"/>
        <v>1.1094452805576698</v>
      </c>
      <c r="I42" s="108">
        <v>19558215</v>
      </c>
      <c r="J42" s="110">
        <f t="shared" si="12"/>
        <v>1.091193128292673</v>
      </c>
      <c r="K42" s="60">
        <v>19558215</v>
      </c>
      <c r="L42" s="110">
        <f t="shared" si="13"/>
        <v>1.0613512679719692</v>
      </c>
      <c r="M42" s="60">
        <v>19479498</v>
      </c>
      <c r="N42" s="110">
        <f t="shared" si="14"/>
        <v>1.077464682391677</v>
      </c>
    </row>
    <row r="43" spans="1:14" ht="12.75">
      <c r="A43" s="28"/>
      <c r="B43" s="58" t="s">
        <v>10</v>
      </c>
      <c r="C43" s="138">
        <v>544694</v>
      </c>
      <c r="D43" s="110">
        <f t="shared" si="9"/>
        <v>0.014582731178859878</v>
      </c>
      <c r="E43" s="60">
        <v>413700</v>
      </c>
      <c r="F43" s="110">
        <f t="shared" si="10"/>
        <v>0.012564712674147464</v>
      </c>
      <c r="G43" s="60">
        <v>222070</v>
      </c>
      <c r="H43" s="110">
        <f t="shared" si="11"/>
        <v>0.009104723632462884</v>
      </c>
      <c r="I43" s="107">
        <v>0</v>
      </c>
      <c r="J43" s="110">
        <f t="shared" si="12"/>
        <v>0</v>
      </c>
      <c r="K43" s="107">
        <v>0</v>
      </c>
      <c r="L43" s="110">
        <f t="shared" si="13"/>
        <v>0</v>
      </c>
      <c r="M43" s="107">
        <v>0</v>
      </c>
      <c r="N43" s="110">
        <f t="shared" si="14"/>
        <v>0</v>
      </c>
    </row>
    <row r="44" spans="1:14" ht="12.75">
      <c r="A44" s="28"/>
      <c r="B44" s="51" t="s">
        <v>89</v>
      </c>
      <c r="C44" s="102">
        <v>-4158438</v>
      </c>
      <c r="D44" s="111">
        <f t="shared" si="9"/>
        <v>-0.111331102376666</v>
      </c>
      <c r="E44" s="53">
        <v>-4285184</v>
      </c>
      <c r="F44" s="111">
        <f t="shared" si="10"/>
        <v>-0.13014770538035758</v>
      </c>
      <c r="G44" s="53">
        <v>-9084514</v>
      </c>
      <c r="H44" s="111">
        <f t="shared" si="11"/>
        <v>-0.3724590863477279</v>
      </c>
      <c r="I44" s="100">
        <v>-10907452</v>
      </c>
      <c r="J44" s="111">
        <f t="shared" si="12"/>
        <v>-0.6085492295478996</v>
      </c>
      <c r="K44" s="53">
        <v>-10999676</v>
      </c>
      <c r="L44" s="111">
        <f t="shared" si="13"/>
        <v>-0.5969113270245183</v>
      </c>
      <c r="M44" s="53">
        <v>-8697192</v>
      </c>
      <c r="N44" s="111">
        <f t="shared" si="14"/>
        <v>-0.48106564224496107</v>
      </c>
    </row>
    <row r="45" spans="1:14" ht="12.75">
      <c r="A45" s="37"/>
      <c r="B45" s="37"/>
      <c r="C45" s="83">
        <f>SUM(C42:C44)</f>
        <v>27889911</v>
      </c>
      <c r="D45" s="110">
        <f t="shared" si="9"/>
        <v>0.7466780884594416</v>
      </c>
      <c r="E45" s="83">
        <f aca="true" t="shared" si="18" ref="E45:M45">SUM(E42:E44)</f>
        <v>23845638</v>
      </c>
      <c r="F45" s="110">
        <f t="shared" si="10"/>
        <v>0.724229127391183</v>
      </c>
      <c r="G45" s="89">
        <f t="shared" si="18"/>
        <v>18197632</v>
      </c>
      <c r="H45" s="110">
        <f t="shared" si="11"/>
        <v>0.7460909178424048</v>
      </c>
      <c r="I45" s="89">
        <f t="shared" si="18"/>
        <v>8650763</v>
      </c>
      <c r="J45" s="110">
        <f t="shared" si="12"/>
        <v>0.4826438987447735</v>
      </c>
      <c r="K45" s="89">
        <f t="shared" si="18"/>
        <v>8558539</v>
      </c>
      <c r="L45" s="110">
        <f t="shared" si="13"/>
        <v>0.464439940947451</v>
      </c>
      <c r="M45" s="89">
        <f t="shared" si="18"/>
        <v>10782306</v>
      </c>
      <c r="N45" s="110">
        <f t="shared" si="14"/>
        <v>0.596399040146716</v>
      </c>
    </row>
    <row r="46" spans="1:14" ht="12.75">
      <c r="A46" s="39" t="s">
        <v>11</v>
      </c>
      <c r="B46" s="39"/>
      <c r="C46" s="35"/>
      <c r="D46" s="110"/>
      <c r="E46" s="63"/>
      <c r="F46" s="110"/>
      <c r="G46" s="107"/>
      <c r="H46" s="110"/>
      <c r="I46" s="107"/>
      <c r="J46" s="110"/>
      <c r="K46" s="107"/>
      <c r="L46" s="110"/>
      <c r="M46" s="107"/>
      <c r="N46" s="110"/>
    </row>
    <row r="47" spans="1:14" ht="13.5" thickBot="1">
      <c r="A47" s="97"/>
      <c r="B47" s="97"/>
      <c r="C47" s="98">
        <f>C45+C39</f>
        <v>37351988</v>
      </c>
      <c r="D47" s="112">
        <f>C47/$C$47</f>
        <v>1</v>
      </c>
      <c r="E47" s="98">
        <f aca="true" t="shared" si="19" ref="E47:M47">E45+E39</f>
        <v>32925544</v>
      </c>
      <c r="F47" s="112">
        <f>E47/$E$47</f>
        <v>1</v>
      </c>
      <c r="G47" s="98">
        <f t="shared" si="19"/>
        <v>24390636</v>
      </c>
      <c r="H47" s="112">
        <f>G47/$G$47</f>
        <v>1</v>
      </c>
      <c r="I47" s="98">
        <f t="shared" si="19"/>
        <v>17923697</v>
      </c>
      <c r="J47" s="112">
        <f>I47/$I$47</f>
        <v>1</v>
      </c>
      <c r="K47" s="98">
        <f t="shared" si="19"/>
        <v>18427655</v>
      </c>
      <c r="L47" s="112">
        <f>K47/$K$47</f>
        <v>1</v>
      </c>
      <c r="M47" s="98">
        <f t="shared" si="19"/>
        <v>18079013</v>
      </c>
      <c r="N47" s="112">
        <f>M47/$M$47</f>
        <v>1</v>
      </c>
    </row>
    <row r="48" spans="3:13" ht="12.75">
      <c r="C48" s="35"/>
      <c r="D48" s="35"/>
      <c r="E48" s="35"/>
      <c r="F48" s="106"/>
      <c r="G48" s="35"/>
      <c r="H48" s="106"/>
      <c r="I48" s="35"/>
      <c r="J48" s="35"/>
      <c r="K48" s="35"/>
      <c r="L48" s="35"/>
      <c r="M48" s="35"/>
    </row>
    <row r="49" spans="1:13" ht="12.75">
      <c r="A49" s="39" t="s">
        <v>12</v>
      </c>
      <c r="B49" s="39"/>
      <c r="C49" s="35"/>
      <c r="D49" s="35"/>
      <c r="E49" s="35"/>
      <c r="F49" s="106"/>
      <c r="G49" s="35"/>
      <c r="H49" s="106"/>
      <c r="I49" s="35"/>
      <c r="J49" s="35"/>
      <c r="K49" s="35"/>
      <c r="L49" s="35"/>
      <c r="M49" s="35"/>
    </row>
    <row r="50" spans="3:13" ht="12.75">
      <c r="C50" s="35"/>
      <c r="D50" s="35"/>
      <c r="E50" s="35"/>
      <c r="F50" s="106"/>
      <c r="G50" s="35"/>
      <c r="H50" s="106"/>
      <c r="I50" s="35"/>
      <c r="J50" s="35"/>
      <c r="K50" s="35"/>
      <c r="L50" s="35"/>
      <c r="M50" s="3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U38"/>
  <sheetViews>
    <sheetView zoomScalePageLayoutView="0" workbookViewId="0" topLeftCell="A4">
      <selection activeCell="C11" sqref="C11"/>
    </sheetView>
  </sheetViews>
  <sheetFormatPr defaultColWidth="11.00390625" defaultRowHeight="12.75"/>
  <cols>
    <col min="1" max="1" width="4.625" style="27" customWidth="1"/>
    <col min="2" max="2" width="53.75390625" style="27" customWidth="1"/>
    <col min="3" max="3" width="12.375" style="27" bestFit="1" customWidth="1"/>
    <col min="4" max="4" width="4.375" style="27" bestFit="1" customWidth="1"/>
    <col min="5" max="5" width="12.375" style="27" bestFit="1" customWidth="1"/>
    <col min="6" max="6" width="4.375" style="27" bestFit="1" customWidth="1"/>
    <col min="7" max="7" width="12.375" style="38" bestFit="1" customWidth="1"/>
    <col min="8" max="8" width="4.375" style="38" bestFit="1" customWidth="1"/>
    <col min="9" max="9" width="13.125" style="27" bestFit="1" customWidth="1"/>
    <col min="10" max="10" width="4.375" style="27" bestFit="1" customWidth="1"/>
    <col min="11" max="11" width="13.125" style="27" bestFit="1" customWidth="1"/>
    <col min="12" max="12" width="4.375" style="27" bestFit="1" customWidth="1"/>
    <col min="13" max="13" width="12.375" style="27" bestFit="1" customWidth="1"/>
    <col min="14" max="14" width="4.375" style="27" bestFit="1" customWidth="1"/>
    <col min="15" max="15" width="11.00390625" style="27" customWidth="1"/>
    <col min="16" max="16384" width="11.00390625" style="27" customWidth="1"/>
  </cols>
  <sheetData>
    <row r="1" spans="1:4" ht="19.5">
      <c r="A1" s="26" t="s">
        <v>5</v>
      </c>
      <c r="B1" s="37"/>
      <c r="C1" s="37"/>
      <c r="D1" s="37"/>
    </row>
    <row r="2" spans="1:4" ht="12.75">
      <c r="A2" s="39" t="s">
        <v>133</v>
      </c>
      <c r="B2" s="39"/>
      <c r="C2" s="39"/>
      <c r="D2" s="39"/>
    </row>
    <row r="3" spans="1:4" ht="12.75">
      <c r="A3" s="39" t="s">
        <v>142</v>
      </c>
      <c r="B3" s="39"/>
      <c r="C3" s="39"/>
      <c r="D3" s="39"/>
    </row>
    <row r="4" spans="1:14" ht="13.5" thickBot="1">
      <c r="A4" s="29"/>
      <c r="B4" s="29"/>
      <c r="C4" s="29"/>
      <c r="D4" s="29"/>
      <c r="E4" s="29"/>
      <c r="F4" s="29"/>
      <c r="G4" s="40"/>
      <c r="H4" s="40"/>
      <c r="I4" s="29"/>
      <c r="J4" s="29"/>
      <c r="K4" s="29"/>
      <c r="L4" s="29"/>
      <c r="M4" s="29"/>
      <c r="N4" s="29"/>
    </row>
    <row r="5" spans="1:16" ht="12.75">
      <c r="A5" s="41"/>
      <c r="B5" s="41"/>
      <c r="C5" s="42">
        <v>2007</v>
      </c>
      <c r="D5" s="42"/>
      <c r="E5" s="118">
        <v>2006</v>
      </c>
      <c r="F5" s="118"/>
      <c r="G5" s="119">
        <v>2005</v>
      </c>
      <c r="H5" s="119"/>
      <c r="I5" s="119">
        <v>2004</v>
      </c>
      <c r="J5" s="119"/>
      <c r="K5" s="119">
        <v>2003</v>
      </c>
      <c r="L5" s="119"/>
      <c r="M5" s="119">
        <v>2002</v>
      </c>
      <c r="O5" s="37"/>
      <c r="P5" s="43"/>
    </row>
    <row r="6" spans="1:15" ht="12.75">
      <c r="A6" s="39" t="s">
        <v>16</v>
      </c>
      <c r="B6" s="39"/>
      <c r="C6" s="44"/>
      <c r="D6" s="44"/>
      <c r="E6" s="120"/>
      <c r="F6" s="120"/>
      <c r="G6" s="121"/>
      <c r="H6" s="121"/>
      <c r="I6" s="121"/>
      <c r="J6" s="121"/>
      <c r="K6" s="121"/>
      <c r="L6" s="121"/>
      <c r="M6" s="121"/>
      <c r="N6" s="109"/>
      <c r="O6" s="39"/>
    </row>
    <row r="7" spans="2:16" ht="12.75">
      <c r="B7" s="39" t="s">
        <v>17</v>
      </c>
      <c r="C7" s="47">
        <v>74064006</v>
      </c>
      <c r="D7" s="114">
        <f>C7/$C$7</f>
        <v>1</v>
      </c>
      <c r="E7" s="60">
        <v>61973683</v>
      </c>
      <c r="F7" s="116">
        <f>E7/$E$7</f>
        <v>1</v>
      </c>
      <c r="G7" s="61">
        <v>42129255</v>
      </c>
      <c r="H7" s="116">
        <f>G7/$G$7</f>
        <v>1</v>
      </c>
      <c r="I7" s="61">
        <v>21254721</v>
      </c>
      <c r="J7" s="116">
        <f>I7/$I$7</f>
        <v>1</v>
      </c>
      <c r="K7" s="61">
        <v>18917158</v>
      </c>
      <c r="L7" s="116">
        <f>K7/$K$7</f>
        <v>1</v>
      </c>
      <c r="M7" s="61">
        <v>19307429</v>
      </c>
      <c r="N7" s="116">
        <f>M7/$M$7</f>
        <v>1</v>
      </c>
      <c r="O7" s="39"/>
      <c r="P7" s="50"/>
    </row>
    <row r="8" spans="1:16" ht="12.75">
      <c r="A8" s="28"/>
      <c r="B8" s="51" t="s">
        <v>18</v>
      </c>
      <c r="C8" s="52">
        <v>-39225210</v>
      </c>
      <c r="D8" s="114">
        <f aca="true" t="shared" si="0" ref="D8:D29">C8/$C$7</f>
        <v>-0.5296123193768374</v>
      </c>
      <c r="E8" s="53">
        <v>-32057701</v>
      </c>
      <c r="F8" s="117">
        <f aca="true" t="shared" si="1" ref="F8:F29">E8/$E$7</f>
        <v>-0.5172792619086395</v>
      </c>
      <c r="G8" s="54">
        <v>-19464121</v>
      </c>
      <c r="H8" s="117">
        <f aca="true" t="shared" si="2" ref="H8:H29">G8/$G$7</f>
        <v>-0.4620096177822276</v>
      </c>
      <c r="I8" s="54">
        <v>-5816279</v>
      </c>
      <c r="J8" s="117">
        <f aca="true" t="shared" si="3" ref="J8:J29">I8/$I$7</f>
        <v>-0.27364645247519365</v>
      </c>
      <c r="K8" s="54">
        <v>0</v>
      </c>
      <c r="L8" s="117">
        <f aca="true" t="shared" si="4" ref="L8:L29">K8/$K$7</f>
        <v>0</v>
      </c>
      <c r="M8" s="33">
        <v>0</v>
      </c>
      <c r="N8" s="117">
        <f aca="true" t="shared" si="5" ref="N8:N29">M8/$M$7</f>
        <v>0</v>
      </c>
      <c r="O8" s="39"/>
      <c r="P8" s="55"/>
    </row>
    <row r="9" spans="2:16" ht="12.75">
      <c r="B9" s="39" t="s">
        <v>19</v>
      </c>
      <c r="C9" s="56">
        <f>SUM(C7:C8)</f>
        <v>34838796</v>
      </c>
      <c r="D9" s="115">
        <f t="shared" si="0"/>
        <v>0.4703876806231626</v>
      </c>
      <c r="E9" s="56">
        <f>SUM(E7:E8)</f>
        <v>29915982</v>
      </c>
      <c r="F9" s="114">
        <f t="shared" si="1"/>
        <v>0.4827207380913605</v>
      </c>
      <c r="G9" s="56">
        <f>SUM(G7:G8)</f>
        <v>22665134</v>
      </c>
      <c r="H9" s="114">
        <f t="shared" si="2"/>
        <v>0.5379903822177724</v>
      </c>
      <c r="I9" s="56">
        <f>SUM(I7:I8)</f>
        <v>15438442</v>
      </c>
      <c r="J9" s="114">
        <f t="shared" si="3"/>
        <v>0.7263535475248064</v>
      </c>
      <c r="K9" s="56">
        <f>SUM(K7:K8)</f>
        <v>18917158</v>
      </c>
      <c r="L9" s="114">
        <f t="shared" si="4"/>
        <v>1</v>
      </c>
      <c r="M9" s="56">
        <f>SUM(M7:M8)</f>
        <v>19307429</v>
      </c>
      <c r="N9" s="114">
        <f t="shared" si="5"/>
        <v>1</v>
      </c>
      <c r="O9" s="39"/>
      <c r="P9" s="57"/>
    </row>
    <row r="10" spans="1:16" ht="12.75">
      <c r="A10" s="39"/>
      <c r="B10" s="39"/>
      <c r="C10" s="47"/>
      <c r="D10" s="116"/>
      <c r="E10" s="48"/>
      <c r="F10" s="114"/>
      <c r="G10" s="49"/>
      <c r="H10" s="114"/>
      <c r="I10" s="49"/>
      <c r="J10" s="114"/>
      <c r="K10" s="49"/>
      <c r="L10" s="114"/>
      <c r="M10" s="49"/>
      <c r="N10" s="114"/>
      <c r="O10" s="39"/>
      <c r="P10" s="57"/>
    </row>
    <row r="11" spans="1:16" ht="12.75">
      <c r="A11" s="51" t="s">
        <v>20</v>
      </c>
      <c r="B11" s="51"/>
      <c r="C11" s="52">
        <v>-24360489</v>
      </c>
      <c r="D11" s="117">
        <f t="shared" si="0"/>
        <v>-0.3289113067959084</v>
      </c>
      <c r="E11" s="53">
        <v>-19422338</v>
      </c>
      <c r="F11" s="114">
        <f t="shared" si="1"/>
        <v>-0.313396542851907</v>
      </c>
      <c r="G11" s="49">
        <v>-14877972</v>
      </c>
      <c r="H11" s="114">
        <f t="shared" si="2"/>
        <v>-0.35315060757661154</v>
      </c>
      <c r="I11" s="49">
        <v>-11130820</v>
      </c>
      <c r="J11" s="114">
        <f t="shared" si="3"/>
        <v>-0.5236869493605679</v>
      </c>
      <c r="K11" s="49">
        <v>-14731013</v>
      </c>
      <c r="L11" s="114">
        <f t="shared" si="4"/>
        <v>-0.7787117388351886</v>
      </c>
      <c r="M11" s="49">
        <v>-13138371</v>
      </c>
      <c r="N11" s="114">
        <f t="shared" si="5"/>
        <v>-0.6804826784550133</v>
      </c>
      <c r="O11" s="39"/>
      <c r="P11" s="57"/>
    </row>
    <row r="12" spans="1:16" ht="12.75">
      <c r="A12" s="39" t="s">
        <v>21</v>
      </c>
      <c r="B12" s="39"/>
      <c r="C12" s="56">
        <f>C9+C11</f>
        <v>10478307</v>
      </c>
      <c r="D12" s="114">
        <f t="shared" si="0"/>
        <v>0.14147637382725423</v>
      </c>
      <c r="E12" s="56">
        <f>E9+E11</f>
        <v>10493644</v>
      </c>
      <c r="F12" s="115">
        <f t="shared" si="1"/>
        <v>0.1693241952394535</v>
      </c>
      <c r="G12" s="122">
        <f>G9+G11</f>
        <v>7787162</v>
      </c>
      <c r="H12" s="115">
        <f t="shared" si="2"/>
        <v>0.1848397746411609</v>
      </c>
      <c r="I12" s="122">
        <f>I9+I11</f>
        <v>4307622</v>
      </c>
      <c r="J12" s="115">
        <f t="shared" si="3"/>
        <v>0.20266659816423843</v>
      </c>
      <c r="K12" s="122">
        <f>K9+K11</f>
        <v>4186145</v>
      </c>
      <c r="L12" s="115">
        <f t="shared" si="4"/>
        <v>0.22128826116481135</v>
      </c>
      <c r="M12" s="122">
        <f>M9+M11</f>
        <v>6169058</v>
      </c>
      <c r="N12" s="115">
        <f t="shared" si="5"/>
        <v>0.31951732154498663</v>
      </c>
      <c r="O12" s="39"/>
      <c r="P12" s="55"/>
    </row>
    <row r="13" spans="1:16" ht="12.75">
      <c r="A13" s="39"/>
      <c r="B13" s="39"/>
      <c r="C13" s="47"/>
      <c r="D13" s="114"/>
      <c r="E13" s="48"/>
      <c r="F13" s="116"/>
      <c r="G13" s="61"/>
      <c r="H13" s="116"/>
      <c r="I13" s="61"/>
      <c r="J13" s="116"/>
      <c r="K13" s="61"/>
      <c r="L13" s="116"/>
      <c r="M13" s="61"/>
      <c r="N13" s="116"/>
      <c r="O13" s="39"/>
      <c r="P13" s="55"/>
    </row>
    <row r="14" spans="1:16" ht="12.75">
      <c r="A14" s="51" t="s">
        <v>22</v>
      </c>
      <c r="B14" s="51"/>
      <c r="C14" s="52">
        <v>-7867657</v>
      </c>
      <c r="D14" s="117">
        <f t="shared" si="0"/>
        <v>-0.1062278078774189</v>
      </c>
      <c r="E14" s="53">
        <v>-6484562</v>
      </c>
      <c r="F14" s="117">
        <f t="shared" si="1"/>
        <v>-0.10463412348754551</v>
      </c>
      <c r="G14" s="54">
        <v>-4285622</v>
      </c>
      <c r="H14" s="117">
        <f t="shared" si="2"/>
        <v>-0.10172555864090167</v>
      </c>
      <c r="I14" s="54">
        <v>-2856430</v>
      </c>
      <c r="J14" s="117">
        <f t="shared" si="3"/>
        <v>-0.13439037849520585</v>
      </c>
      <c r="K14" s="54">
        <v>-4497575</v>
      </c>
      <c r="L14" s="117">
        <f t="shared" si="4"/>
        <v>-0.2377510934782064</v>
      </c>
      <c r="M14" s="54">
        <v>-4430155</v>
      </c>
      <c r="N14" s="117">
        <f t="shared" si="5"/>
        <v>-0.229453388123297</v>
      </c>
      <c r="O14" s="39"/>
      <c r="P14" s="57"/>
    </row>
    <row r="15" spans="1:16" ht="12.75">
      <c r="A15" s="39" t="s">
        <v>23</v>
      </c>
      <c r="B15" s="39"/>
      <c r="C15" s="62">
        <f>C12+C14</f>
        <v>2610650</v>
      </c>
      <c r="D15" s="116">
        <f t="shared" si="0"/>
        <v>0.03524856594983534</v>
      </c>
      <c r="E15" s="62">
        <f>E12+E14</f>
        <v>4009082</v>
      </c>
      <c r="F15" s="114">
        <f t="shared" si="1"/>
        <v>0.06469007175190798</v>
      </c>
      <c r="G15" s="62">
        <f>G12+G14</f>
        <v>3501540</v>
      </c>
      <c r="H15" s="114">
        <f t="shared" si="2"/>
        <v>0.0831142160002592</v>
      </c>
      <c r="I15" s="62">
        <f>I12+I14</f>
        <v>1451192</v>
      </c>
      <c r="J15" s="114">
        <f t="shared" si="3"/>
        <v>0.06827621966903259</v>
      </c>
      <c r="K15" s="62">
        <f>K12+K14</f>
        <v>-311430</v>
      </c>
      <c r="L15" s="114">
        <f t="shared" si="4"/>
        <v>-0.016462832313395067</v>
      </c>
      <c r="M15" s="62">
        <f>M12+M14</f>
        <v>1738903</v>
      </c>
      <c r="N15" s="114">
        <f t="shared" si="5"/>
        <v>0.09006393342168965</v>
      </c>
      <c r="O15" s="39"/>
      <c r="P15" s="55"/>
    </row>
    <row r="16" spans="1:16" ht="12.75">
      <c r="A16" s="39"/>
      <c r="B16" s="39"/>
      <c r="C16" s="47"/>
      <c r="D16" s="116"/>
      <c r="E16" s="48"/>
      <c r="F16" s="114"/>
      <c r="G16" s="49"/>
      <c r="H16" s="114"/>
      <c r="I16" s="49"/>
      <c r="J16" s="114"/>
      <c r="K16" s="49"/>
      <c r="L16" s="114"/>
      <c r="M16" s="49"/>
      <c r="N16" s="114"/>
      <c r="O16" s="39"/>
      <c r="P16" s="57"/>
    </row>
    <row r="17" spans="1:16" ht="12.75">
      <c r="A17" s="39" t="s">
        <v>24</v>
      </c>
      <c r="B17" s="39"/>
      <c r="C17" s="47"/>
      <c r="D17" s="116"/>
      <c r="E17" s="63"/>
      <c r="F17" s="114"/>
      <c r="G17" s="64"/>
      <c r="H17" s="114"/>
      <c r="I17" s="64"/>
      <c r="J17" s="114"/>
      <c r="K17" s="64"/>
      <c r="L17" s="114"/>
      <c r="M17" s="64"/>
      <c r="N17" s="114"/>
      <c r="O17" s="39"/>
      <c r="P17" s="55"/>
    </row>
    <row r="18" spans="2:16" ht="12.75">
      <c r="B18" s="39" t="s">
        <v>25</v>
      </c>
      <c r="C18" s="47">
        <v>-102221</v>
      </c>
      <c r="D18" s="116">
        <f t="shared" si="0"/>
        <v>-0.0013801710914745822</v>
      </c>
      <c r="E18" s="48">
        <v>-82502</v>
      </c>
      <c r="F18" s="114">
        <f t="shared" si="1"/>
        <v>-0.0013312424888480487</v>
      </c>
      <c r="G18" s="49">
        <v>-88420</v>
      </c>
      <c r="H18" s="114">
        <f t="shared" si="2"/>
        <v>-0.0020987791025499974</v>
      </c>
      <c r="I18" s="49">
        <v>-119349</v>
      </c>
      <c r="J18" s="114">
        <f t="shared" si="3"/>
        <v>-0.005615176035479365</v>
      </c>
      <c r="K18" s="49">
        <v>-577917</v>
      </c>
      <c r="L18" s="114">
        <f t="shared" si="4"/>
        <v>-0.030549884924574822</v>
      </c>
      <c r="M18" s="49">
        <v>0</v>
      </c>
      <c r="N18" s="114">
        <f t="shared" si="5"/>
        <v>0</v>
      </c>
      <c r="O18" s="37"/>
      <c r="P18" s="55"/>
    </row>
    <row r="19" spans="2:16" ht="12.75">
      <c r="B19" s="39" t="s">
        <v>189</v>
      </c>
      <c r="C19" s="47">
        <v>-400153</v>
      </c>
      <c r="D19" s="116">
        <f t="shared" si="0"/>
        <v>-0.0054027998431518814</v>
      </c>
      <c r="E19" s="48">
        <v>-222097</v>
      </c>
      <c r="F19" s="114">
        <f t="shared" si="1"/>
        <v>-0.0035837308555633205</v>
      </c>
      <c r="G19" s="49">
        <v>-173886</v>
      </c>
      <c r="H19" s="114">
        <f t="shared" si="2"/>
        <v>-0.004127440658516273</v>
      </c>
      <c r="I19" s="49">
        <v>-213851</v>
      </c>
      <c r="J19" s="114">
        <f t="shared" si="3"/>
        <v>-0.010061341195680714</v>
      </c>
      <c r="K19" s="49">
        <v>-184432</v>
      </c>
      <c r="L19" s="114">
        <f t="shared" si="4"/>
        <v>-0.009749456022939598</v>
      </c>
      <c r="M19" s="49">
        <v>-230780</v>
      </c>
      <c r="N19" s="114">
        <f t="shared" si="5"/>
        <v>-0.011952912011226353</v>
      </c>
      <c r="O19" s="39"/>
      <c r="P19" s="57"/>
    </row>
    <row r="20" spans="2:16" ht="12.75">
      <c r="B20" s="39" t="s">
        <v>26</v>
      </c>
      <c r="C20" s="47">
        <v>72585</v>
      </c>
      <c r="D20" s="116">
        <f t="shared" si="0"/>
        <v>0.0009800307047933647</v>
      </c>
      <c r="E20" s="48">
        <v>106720</v>
      </c>
      <c r="F20" s="114">
        <f t="shared" si="1"/>
        <v>0.0017220212650585895</v>
      </c>
      <c r="G20" s="49">
        <v>8947</v>
      </c>
      <c r="H20" s="114">
        <f t="shared" si="2"/>
        <v>0.00021237024010987139</v>
      </c>
      <c r="I20" s="49">
        <v>-92574</v>
      </c>
      <c r="J20" s="114">
        <f t="shared" si="3"/>
        <v>-0.004355455900832573</v>
      </c>
      <c r="K20" s="49">
        <v>-265852</v>
      </c>
      <c r="L20" s="114">
        <f t="shared" si="4"/>
        <v>-0.014053485201106847</v>
      </c>
      <c r="M20" s="49">
        <v>-186460</v>
      </c>
      <c r="N20" s="114">
        <f t="shared" si="5"/>
        <v>-0.009657422539272318</v>
      </c>
      <c r="O20" s="39"/>
      <c r="P20" s="57"/>
    </row>
    <row r="21" spans="2:16" ht="12.75">
      <c r="B21" s="39" t="s">
        <v>147</v>
      </c>
      <c r="C21" s="47">
        <v>-1726140</v>
      </c>
      <c r="D21" s="116">
        <f t="shared" si="0"/>
        <v>-0.02330605773606143</v>
      </c>
      <c r="E21" s="48">
        <v>-1153291</v>
      </c>
      <c r="F21" s="114">
        <f t="shared" si="1"/>
        <v>-0.018609366817847504</v>
      </c>
      <c r="G21" s="49">
        <v>-1363472</v>
      </c>
      <c r="H21" s="114">
        <f t="shared" si="2"/>
        <v>-0.03236401877982414</v>
      </c>
      <c r="I21" s="49">
        <v>-933194</v>
      </c>
      <c r="J21" s="114">
        <f t="shared" si="3"/>
        <v>-0.043905257566072026</v>
      </c>
      <c r="K21" s="49">
        <v>-962853</v>
      </c>
      <c r="L21" s="114">
        <f t="shared" si="4"/>
        <v>-0.0508983960487088</v>
      </c>
      <c r="M21" s="49">
        <v>-1217408</v>
      </c>
      <c r="N21" s="114">
        <f t="shared" si="5"/>
        <v>-0.06305386387799225</v>
      </c>
      <c r="O21" s="39"/>
      <c r="P21" s="57"/>
    </row>
    <row r="22" spans="2:16" ht="12.75">
      <c r="B22" s="39" t="s">
        <v>131</v>
      </c>
      <c r="C22" s="47">
        <v>15000</v>
      </c>
      <c r="D22" s="116">
        <f t="shared" si="0"/>
        <v>0.00020252752733898837</v>
      </c>
      <c r="E22" s="48">
        <v>0</v>
      </c>
      <c r="F22" s="114">
        <f t="shared" si="1"/>
        <v>0</v>
      </c>
      <c r="G22" s="49">
        <v>0</v>
      </c>
      <c r="H22" s="114">
        <f t="shared" si="2"/>
        <v>0</v>
      </c>
      <c r="I22" s="49">
        <v>0</v>
      </c>
      <c r="J22" s="114">
        <f t="shared" si="3"/>
        <v>0</v>
      </c>
      <c r="K22" s="49">
        <v>0</v>
      </c>
      <c r="L22" s="114">
        <f t="shared" si="4"/>
        <v>0</v>
      </c>
      <c r="M22" s="49">
        <v>0</v>
      </c>
      <c r="N22" s="114">
        <f t="shared" si="5"/>
        <v>0</v>
      </c>
      <c r="O22" s="39"/>
      <c r="P22" s="57"/>
    </row>
    <row r="23" spans="2:16" ht="12.75">
      <c r="B23" s="39" t="s">
        <v>132</v>
      </c>
      <c r="C23" s="47">
        <v>-24200</v>
      </c>
      <c r="D23" s="116">
        <f t="shared" si="0"/>
        <v>-0.00032674441077356795</v>
      </c>
      <c r="E23" s="48">
        <v>37553</v>
      </c>
      <c r="F23" s="114">
        <f t="shared" si="1"/>
        <v>0.0006059507549357685</v>
      </c>
      <c r="G23" s="49">
        <v>0</v>
      </c>
      <c r="H23" s="114">
        <f t="shared" si="2"/>
        <v>0</v>
      </c>
      <c r="I23" s="49">
        <v>0</v>
      </c>
      <c r="J23" s="114">
        <f t="shared" si="3"/>
        <v>0</v>
      </c>
      <c r="K23" s="49">
        <v>0</v>
      </c>
      <c r="L23" s="114">
        <f t="shared" si="4"/>
        <v>0</v>
      </c>
      <c r="M23" s="49">
        <v>0</v>
      </c>
      <c r="N23" s="114">
        <f t="shared" si="5"/>
        <v>0</v>
      </c>
      <c r="O23" s="39"/>
      <c r="P23" s="55"/>
    </row>
    <row r="24" spans="1:16" ht="12.75">
      <c r="A24" s="28"/>
      <c r="B24" s="39" t="s">
        <v>148</v>
      </c>
      <c r="C24" s="48">
        <v>0</v>
      </c>
      <c r="D24" s="117">
        <f t="shared" si="0"/>
        <v>0</v>
      </c>
      <c r="E24" s="48">
        <v>0</v>
      </c>
      <c r="F24" s="114">
        <f t="shared" si="1"/>
        <v>0</v>
      </c>
      <c r="G24" s="64">
        <v>0</v>
      </c>
      <c r="H24" s="114">
        <f t="shared" si="2"/>
        <v>0</v>
      </c>
      <c r="I24" s="64">
        <v>0</v>
      </c>
      <c r="J24" s="114">
        <f t="shared" si="3"/>
        <v>0</v>
      </c>
      <c r="K24" s="64">
        <v>0</v>
      </c>
      <c r="L24" s="114">
        <f t="shared" si="4"/>
        <v>0</v>
      </c>
      <c r="M24" s="49">
        <v>2187226</v>
      </c>
      <c r="N24" s="114">
        <f t="shared" si="5"/>
        <v>0.11328416642112214</v>
      </c>
      <c r="O24" s="39"/>
      <c r="P24" s="50"/>
    </row>
    <row r="25" spans="1:16" ht="12.75">
      <c r="A25" s="32"/>
      <c r="B25" s="66"/>
      <c r="C25" s="67">
        <f>SUM(C18:C24)</f>
        <v>-2165129</v>
      </c>
      <c r="D25" s="114">
        <f t="shared" si="0"/>
        <v>-0.029233214849329107</v>
      </c>
      <c r="E25" s="67">
        <f>SUM(E18:E24)</f>
        <v>-1313617</v>
      </c>
      <c r="F25" s="123">
        <f t="shared" si="1"/>
        <v>-0.021196368142264516</v>
      </c>
      <c r="G25" s="67">
        <f>SUM(G18:G24)</f>
        <v>-1616831</v>
      </c>
      <c r="H25" s="123">
        <f t="shared" si="2"/>
        <v>-0.038377868300780535</v>
      </c>
      <c r="I25" s="67">
        <f>SUM(I18:I24)</f>
        <v>-1358968</v>
      </c>
      <c r="J25" s="123">
        <f t="shared" si="3"/>
        <v>-0.06393723069806467</v>
      </c>
      <c r="K25" s="67">
        <f>SUM(K18:K24)</f>
        <v>-1991054</v>
      </c>
      <c r="L25" s="123">
        <f t="shared" si="4"/>
        <v>-0.10525122219733006</v>
      </c>
      <c r="M25" s="67">
        <f>SUM(M18:M24)</f>
        <v>552578</v>
      </c>
      <c r="N25" s="123">
        <f t="shared" si="5"/>
        <v>0.02861996799263123</v>
      </c>
      <c r="O25" s="39"/>
      <c r="P25" s="50"/>
    </row>
    <row r="26" spans="1:15" ht="12.75">
      <c r="A26" s="39" t="s">
        <v>27</v>
      </c>
      <c r="B26" s="39"/>
      <c r="C26" s="56">
        <f>C15+C25</f>
        <v>445521</v>
      </c>
      <c r="D26" s="115">
        <f t="shared" si="0"/>
        <v>0.00601535110050623</v>
      </c>
      <c r="E26" s="56">
        <f>E15+E25</f>
        <v>2695465</v>
      </c>
      <c r="F26" s="114">
        <f t="shared" si="1"/>
        <v>0.04349370360964347</v>
      </c>
      <c r="G26" s="56">
        <f>G15+G25</f>
        <v>1884709</v>
      </c>
      <c r="H26" s="114">
        <f t="shared" si="2"/>
        <v>0.044736347699478665</v>
      </c>
      <c r="I26" s="56">
        <f>I15+I25</f>
        <v>92224</v>
      </c>
      <c r="J26" s="114">
        <f t="shared" si="3"/>
        <v>0.004338988970967909</v>
      </c>
      <c r="K26" s="56">
        <f>K15+K25</f>
        <v>-2302484</v>
      </c>
      <c r="L26" s="114">
        <f t="shared" si="4"/>
        <v>-0.12171405451072513</v>
      </c>
      <c r="M26" s="56">
        <f>M15+M25</f>
        <v>2291481</v>
      </c>
      <c r="N26" s="114">
        <f t="shared" si="5"/>
        <v>0.11868390141432088</v>
      </c>
      <c r="O26" s="39"/>
    </row>
    <row r="27" spans="1:15" ht="12.75">
      <c r="A27" s="39"/>
      <c r="B27" s="39"/>
      <c r="C27" s="56"/>
      <c r="D27" s="116"/>
      <c r="E27" s="56"/>
      <c r="F27" s="114"/>
      <c r="G27" s="56"/>
      <c r="H27" s="114"/>
      <c r="I27" s="56"/>
      <c r="J27" s="114"/>
      <c r="K27" s="56"/>
      <c r="L27" s="114"/>
      <c r="M27" s="56"/>
      <c r="N27" s="114"/>
      <c r="O27" s="39"/>
    </row>
    <row r="28" spans="1:16" ht="12.75">
      <c r="A28" s="51" t="s">
        <v>28</v>
      </c>
      <c r="B28" s="51"/>
      <c r="C28" s="52">
        <v>-318775</v>
      </c>
      <c r="D28" s="117">
        <f t="shared" si="0"/>
        <v>-0.004304047501832401</v>
      </c>
      <c r="E28" s="53">
        <v>2103865</v>
      </c>
      <c r="F28" s="114">
        <f t="shared" si="1"/>
        <v>0.03394771616203607</v>
      </c>
      <c r="G28" s="61">
        <v>0</v>
      </c>
      <c r="H28" s="114">
        <f t="shared" si="2"/>
        <v>0</v>
      </c>
      <c r="I28" s="61">
        <v>0</v>
      </c>
      <c r="J28" s="114">
        <f t="shared" si="3"/>
        <v>0</v>
      </c>
      <c r="K28" s="61">
        <v>0</v>
      </c>
      <c r="L28" s="114">
        <f t="shared" si="4"/>
        <v>0</v>
      </c>
      <c r="M28" s="61">
        <v>0</v>
      </c>
      <c r="N28" s="114">
        <f t="shared" si="5"/>
        <v>0</v>
      </c>
      <c r="O28" s="39"/>
      <c r="P28" s="68"/>
    </row>
    <row r="29" spans="1:14" ht="12.75">
      <c r="A29" s="39" t="s">
        <v>29</v>
      </c>
      <c r="B29" s="39"/>
      <c r="C29" s="56">
        <f>C26+C28</f>
        <v>126746</v>
      </c>
      <c r="D29" s="114">
        <f t="shared" si="0"/>
        <v>0.0017113035986738281</v>
      </c>
      <c r="E29" s="56">
        <f>E26+E28</f>
        <v>4799330</v>
      </c>
      <c r="F29" s="115">
        <f t="shared" si="1"/>
        <v>0.07744141977167954</v>
      </c>
      <c r="G29" s="122">
        <f>G26+G28</f>
        <v>1884709</v>
      </c>
      <c r="H29" s="115">
        <f t="shared" si="2"/>
        <v>0.044736347699478665</v>
      </c>
      <c r="I29" s="122">
        <f>I26+I28</f>
        <v>92224</v>
      </c>
      <c r="J29" s="115">
        <f t="shared" si="3"/>
        <v>0.004338988970967909</v>
      </c>
      <c r="K29" s="156">
        <f>K26+K28</f>
        <v>-2302484</v>
      </c>
      <c r="L29" s="115">
        <f t="shared" si="4"/>
        <v>-0.12171405451072513</v>
      </c>
      <c r="M29" s="122">
        <f>M26+M28</f>
        <v>2291481</v>
      </c>
      <c r="N29" s="115">
        <f t="shared" si="5"/>
        <v>0.11868390141432088</v>
      </c>
    </row>
    <row r="30" spans="1:14" ht="12.75">
      <c r="A30" s="39"/>
      <c r="B30" s="39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28"/>
    </row>
    <row r="31" spans="1:14" ht="12.75">
      <c r="A31" s="58" t="s">
        <v>30</v>
      </c>
      <c r="B31" s="58"/>
      <c r="C31" s="59">
        <f>E33</f>
        <v>-4285184</v>
      </c>
      <c r="D31" s="59"/>
      <c r="E31" s="59">
        <f>G33</f>
        <v>-9084514</v>
      </c>
      <c r="F31" s="59"/>
      <c r="G31" s="59">
        <v>-10907453</v>
      </c>
      <c r="H31" s="59"/>
      <c r="I31" s="59">
        <f>K33</f>
        <v>-10999676</v>
      </c>
      <c r="J31" s="59"/>
      <c r="K31" s="59">
        <f>M33</f>
        <v>-8697192</v>
      </c>
      <c r="L31" s="59"/>
      <c r="M31" s="61">
        <v>-10988673</v>
      </c>
      <c r="N31" s="28"/>
    </row>
    <row r="32" spans="1:14" ht="12.75">
      <c r="A32" s="51" t="s">
        <v>35</v>
      </c>
      <c r="B32" s="51"/>
      <c r="C32" s="52">
        <v>0</v>
      </c>
      <c r="D32" s="52"/>
      <c r="E32" s="53">
        <v>0</v>
      </c>
      <c r="F32" s="53"/>
      <c r="G32" s="54">
        <v>-61770</v>
      </c>
      <c r="H32" s="54"/>
      <c r="I32" s="54">
        <v>0</v>
      </c>
      <c r="J32" s="54"/>
      <c r="K32" s="54">
        <v>0</v>
      </c>
      <c r="L32" s="54"/>
      <c r="M32" s="54">
        <v>0</v>
      </c>
      <c r="N32" s="32"/>
    </row>
    <row r="33" spans="1:14" ht="13.5" thickBot="1">
      <c r="A33" s="70" t="s">
        <v>31</v>
      </c>
      <c r="B33" s="70"/>
      <c r="C33" s="157">
        <f>C29+C31</f>
        <v>-4158438</v>
      </c>
      <c r="D33" s="157"/>
      <c r="E33" s="157">
        <f>E29+E31</f>
        <v>-4285184</v>
      </c>
      <c r="F33" s="157"/>
      <c r="G33" s="157">
        <f>G31+G32+G29</f>
        <v>-9084514</v>
      </c>
      <c r="H33" s="157"/>
      <c r="I33" s="157">
        <f>I31+I32+I29</f>
        <v>-10907452</v>
      </c>
      <c r="J33" s="157"/>
      <c r="K33" s="157">
        <f>K31+K32+K29</f>
        <v>-10999676</v>
      </c>
      <c r="L33" s="157"/>
      <c r="M33" s="157">
        <f>M31+M32+M29</f>
        <v>-8697192</v>
      </c>
      <c r="N33" s="140"/>
    </row>
    <row r="34" spans="1:14" ht="12.75">
      <c r="A34" s="39" t="s">
        <v>32</v>
      </c>
      <c r="B34" s="39"/>
      <c r="C34" s="44"/>
      <c r="D34" s="44"/>
      <c r="E34" s="45"/>
      <c r="F34" s="45"/>
      <c r="G34" s="46"/>
      <c r="H34" s="46"/>
      <c r="I34" s="46"/>
      <c r="J34" s="46"/>
      <c r="K34" s="46"/>
      <c r="L34" s="46"/>
      <c r="M34" s="46"/>
      <c r="N34" s="28"/>
    </row>
    <row r="35" spans="1:14" ht="12.75">
      <c r="A35" s="39" t="s">
        <v>33</v>
      </c>
      <c r="B35" s="39"/>
      <c r="C35" s="71">
        <v>0.01</v>
      </c>
      <c r="D35" s="71"/>
      <c r="E35" s="72">
        <v>0.24</v>
      </c>
      <c r="F35" s="72"/>
      <c r="G35" s="73">
        <v>0.12</v>
      </c>
      <c r="H35" s="73"/>
      <c r="I35" s="73">
        <v>0.01</v>
      </c>
      <c r="J35" s="73"/>
      <c r="K35" s="73">
        <v>-0.18</v>
      </c>
      <c r="L35" s="73"/>
      <c r="M35" s="73">
        <v>0.19</v>
      </c>
      <c r="N35" s="28"/>
    </row>
    <row r="36" spans="1:14" ht="13.5" thickBot="1">
      <c r="A36" s="70" t="s">
        <v>34</v>
      </c>
      <c r="B36" s="70"/>
      <c r="C36" s="74">
        <v>0.01</v>
      </c>
      <c r="D36" s="74"/>
      <c r="E36" s="75">
        <v>0.24</v>
      </c>
      <c r="F36" s="75"/>
      <c r="G36" s="76">
        <v>0.11</v>
      </c>
      <c r="H36" s="76"/>
      <c r="I36" s="76">
        <v>0.01</v>
      </c>
      <c r="J36" s="76"/>
      <c r="K36" s="76">
        <v>-0.18</v>
      </c>
      <c r="L36" s="76"/>
      <c r="M36" s="76">
        <v>0.18</v>
      </c>
      <c r="N36" s="29"/>
    </row>
    <row r="37" spans="16:21" ht="12.75">
      <c r="P37" s="71">
        <v>0.01</v>
      </c>
      <c r="Q37" s="72">
        <v>0.24</v>
      </c>
      <c r="R37" s="73">
        <v>0.12</v>
      </c>
      <c r="S37" s="73">
        <v>0.01</v>
      </c>
      <c r="T37" s="73">
        <v>-0.18</v>
      </c>
      <c r="U37" s="73">
        <v>0.19</v>
      </c>
    </row>
    <row r="38" spans="1:10" ht="12.75">
      <c r="A38" s="39" t="s">
        <v>12</v>
      </c>
      <c r="B38" s="39"/>
      <c r="C38" s="39"/>
      <c r="D38" s="39"/>
      <c r="I38" s="77"/>
      <c r="J38" s="77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I47"/>
  <sheetViews>
    <sheetView zoomScalePageLayoutView="0" workbookViewId="0" topLeftCell="A16">
      <selection activeCell="C25" sqref="C25"/>
    </sheetView>
  </sheetViews>
  <sheetFormatPr defaultColWidth="8.75390625" defaultRowHeight="12.75"/>
  <cols>
    <col min="1" max="2" width="8.75390625" style="27" customWidth="1"/>
    <col min="3" max="3" width="40.875" style="27" customWidth="1"/>
    <col min="4" max="6" width="10.50390625" style="27" bestFit="1" customWidth="1"/>
    <col min="7" max="7" width="9.875" style="27" bestFit="1" customWidth="1"/>
    <col min="8" max="8" width="10.50390625" style="27" bestFit="1" customWidth="1"/>
    <col min="9" max="9" width="11.375" style="27" bestFit="1" customWidth="1"/>
    <col min="10" max="16384" width="8.75390625" style="27" customWidth="1"/>
  </cols>
  <sheetData>
    <row r="1" spans="1:9" ht="19.5">
      <c r="A1" s="124" t="s">
        <v>94</v>
      </c>
      <c r="B1" s="125"/>
      <c r="C1" s="125"/>
      <c r="D1" s="125"/>
      <c r="E1" s="125"/>
      <c r="F1" s="125"/>
      <c r="G1" s="125"/>
      <c r="H1" s="125"/>
      <c r="I1" s="125"/>
    </row>
    <row r="2" spans="1:9" ht="12.75">
      <c r="A2" s="125" t="s">
        <v>141</v>
      </c>
      <c r="B2" s="125"/>
      <c r="C2" s="125"/>
      <c r="D2" s="125"/>
      <c r="E2" s="125"/>
      <c r="F2" s="125"/>
      <c r="G2" s="125"/>
      <c r="H2" s="125"/>
      <c r="I2" s="125"/>
    </row>
    <row r="3" spans="1:9" ht="12.75">
      <c r="A3" s="125" t="s">
        <v>95</v>
      </c>
      <c r="B3" s="125"/>
      <c r="C3" s="125"/>
      <c r="D3" s="125"/>
      <c r="E3" s="125"/>
      <c r="F3" s="125"/>
      <c r="G3" s="125"/>
      <c r="H3" s="125"/>
      <c r="I3" s="125"/>
    </row>
    <row r="4" spans="1:9" ht="13.5" thickBo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2.75">
      <c r="A5" s="127"/>
      <c r="B5" s="127"/>
      <c r="C5" s="127"/>
      <c r="D5" s="127">
        <v>2006</v>
      </c>
      <c r="E5" s="127">
        <v>2005</v>
      </c>
      <c r="F5" s="127">
        <v>2004</v>
      </c>
      <c r="G5" s="127">
        <v>2003</v>
      </c>
      <c r="H5" s="127">
        <v>2002</v>
      </c>
      <c r="I5" s="127">
        <v>2001</v>
      </c>
    </row>
    <row r="6" spans="1:9" ht="12.75">
      <c r="A6" s="125" t="s">
        <v>143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5" t="s">
        <v>96</v>
      </c>
      <c r="B7" s="125"/>
      <c r="C7" s="125"/>
      <c r="D7" s="35"/>
      <c r="E7" s="35"/>
      <c r="F7" s="35"/>
      <c r="G7" s="35"/>
      <c r="H7" s="35"/>
      <c r="I7" s="35"/>
    </row>
    <row r="8" spans="1:9" ht="12.75">
      <c r="A8" s="125"/>
      <c r="B8" s="125" t="s">
        <v>97</v>
      </c>
      <c r="C8" s="125"/>
      <c r="D8" s="35">
        <v>-92607</v>
      </c>
      <c r="E8" s="35">
        <v>-421758</v>
      </c>
      <c r="F8" s="35">
        <v>-685111</v>
      </c>
      <c r="G8" s="35">
        <v>-498162</v>
      </c>
      <c r="H8" s="35">
        <v>-1069747</v>
      </c>
      <c r="I8" s="35">
        <v>-1804877</v>
      </c>
    </row>
    <row r="9" spans="1:9" ht="12.75">
      <c r="A9" s="125"/>
      <c r="B9" s="125" t="s">
        <v>98</v>
      </c>
      <c r="C9" s="125"/>
      <c r="D9" s="35"/>
      <c r="E9" s="35"/>
      <c r="F9" s="35"/>
      <c r="G9" s="35"/>
      <c r="H9" s="35"/>
      <c r="I9" s="35"/>
    </row>
    <row r="10" spans="1:9" ht="12.75">
      <c r="A10" s="125"/>
      <c r="B10" s="125"/>
      <c r="C10" s="125" t="s">
        <v>147</v>
      </c>
      <c r="D10" s="35">
        <v>340736</v>
      </c>
      <c r="E10" s="35">
        <v>383776</v>
      </c>
      <c r="F10" s="35">
        <v>409394</v>
      </c>
      <c r="G10" s="35">
        <v>393308</v>
      </c>
      <c r="H10" s="35">
        <v>383109</v>
      </c>
      <c r="I10" s="35">
        <v>398301</v>
      </c>
    </row>
    <row r="11" spans="1:9" ht="12.75">
      <c r="A11" s="125"/>
      <c r="B11" s="125"/>
      <c r="C11" s="125" t="s">
        <v>99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531900</v>
      </c>
    </row>
    <row r="12" spans="1:9" ht="12.75">
      <c r="A12" s="125"/>
      <c r="B12" s="125"/>
      <c r="C12" s="125" t="s">
        <v>100</v>
      </c>
      <c r="D12" s="35">
        <v>0</v>
      </c>
      <c r="E12" s="35">
        <v>0</v>
      </c>
      <c r="F12" s="35">
        <v>0</v>
      </c>
      <c r="G12" s="35">
        <v>31708</v>
      </c>
      <c r="H12" s="35">
        <v>0</v>
      </c>
      <c r="I12" s="35">
        <v>0</v>
      </c>
    </row>
    <row r="13" spans="1:9" ht="12.75">
      <c r="A13" s="125"/>
      <c r="B13" s="125"/>
      <c r="C13" s="128" t="s">
        <v>101</v>
      </c>
      <c r="D13" s="35">
        <v>57323</v>
      </c>
      <c r="E13" s="34">
        <v>57323</v>
      </c>
      <c r="F13" s="34">
        <v>0</v>
      </c>
      <c r="G13" s="34">
        <v>0</v>
      </c>
      <c r="H13" s="34">
        <v>0</v>
      </c>
      <c r="I13" s="34">
        <v>0</v>
      </c>
    </row>
    <row r="14" spans="1:9" ht="12.75">
      <c r="A14" s="125"/>
      <c r="B14" s="125"/>
      <c r="C14" s="128" t="s">
        <v>73</v>
      </c>
      <c r="D14" s="35">
        <v>0</v>
      </c>
      <c r="E14" s="34">
        <v>0</v>
      </c>
      <c r="F14" s="34">
        <v>531656</v>
      </c>
      <c r="G14" s="34">
        <v>0</v>
      </c>
      <c r="H14" s="34">
        <v>0</v>
      </c>
      <c r="I14" s="34">
        <v>0</v>
      </c>
    </row>
    <row r="15" spans="1:9" ht="12.75">
      <c r="A15" s="125"/>
      <c r="B15" s="125"/>
      <c r="C15" s="129" t="s">
        <v>102</v>
      </c>
      <c r="D15" s="35">
        <v>0</v>
      </c>
      <c r="E15" s="34">
        <v>0</v>
      </c>
      <c r="F15" s="34">
        <v>0</v>
      </c>
      <c r="G15" s="34">
        <v>165674</v>
      </c>
      <c r="H15" s="34">
        <v>0</v>
      </c>
      <c r="I15" s="34">
        <v>0</v>
      </c>
    </row>
    <row r="16" spans="1:9" ht="12.75">
      <c r="A16" s="125"/>
      <c r="B16" s="130"/>
      <c r="C16" s="130" t="s">
        <v>103</v>
      </c>
      <c r="D16" s="33">
        <v>-14414</v>
      </c>
      <c r="E16" s="33">
        <v>-14415</v>
      </c>
      <c r="F16" s="33">
        <v>-14415</v>
      </c>
      <c r="G16" s="33">
        <v>25860</v>
      </c>
      <c r="H16" s="33">
        <v>58221</v>
      </c>
      <c r="I16" s="33">
        <v>0</v>
      </c>
    </row>
    <row r="17" spans="1:9" ht="12.75">
      <c r="A17" s="125"/>
      <c r="B17" s="125"/>
      <c r="C17" s="125"/>
      <c r="D17" s="34">
        <f aca="true" t="shared" si="0" ref="D17:I17">SUM(D10:D16)+D8</f>
        <v>291038</v>
      </c>
      <c r="E17" s="34">
        <f t="shared" si="0"/>
        <v>4926</v>
      </c>
      <c r="F17" s="34">
        <f t="shared" si="0"/>
        <v>241524</v>
      </c>
      <c r="G17" s="34">
        <f t="shared" si="0"/>
        <v>118388</v>
      </c>
      <c r="H17" s="34">
        <f t="shared" si="0"/>
        <v>-628417</v>
      </c>
      <c r="I17" s="34">
        <f t="shared" si="0"/>
        <v>-874676</v>
      </c>
    </row>
    <row r="18" spans="1:9" ht="12.75">
      <c r="A18" s="125"/>
      <c r="B18" s="125" t="s">
        <v>149</v>
      </c>
      <c r="C18" s="125"/>
      <c r="D18" s="35"/>
      <c r="E18" s="35"/>
      <c r="F18" s="35"/>
      <c r="G18" s="35"/>
      <c r="H18" s="35"/>
      <c r="I18" s="35"/>
    </row>
    <row r="19" spans="1:9" ht="12.75">
      <c r="A19" s="125"/>
      <c r="B19" s="125"/>
      <c r="C19" s="125" t="s">
        <v>104</v>
      </c>
      <c r="D19" s="35">
        <v>-58849</v>
      </c>
      <c r="E19" s="35">
        <v>-157434</v>
      </c>
      <c r="F19" s="35">
        <v>-15262</v>
      </c>
      <c r="G19" s="35">
        <v>7977</v>
      </c>
      <c r="H19" s="35">
        <v>31302</v>
      </c>
      <c r="I19" s="35">
        <v>-52325</v>
      </c>
    </row>
    <row r="20" spans="1:9" ht="12.75">
      <c r="A20" s="125"/>
      <c r="B20" s="125"/>
      <c r="C20" s="125" t="s">
        <v>105</v>
      </c>
      <c r="D20" s="35">
        <v>41397</v>
      </c>
      <c r="E20" s="35">
        <v>-38810</v>
      </c>
      <c r="F20" s="35">
        <v>16702</v>
      </c>
      <c r="G20" s="35">
        <v>-71312</v>
      </c>
      <c r="H20" s="35">
        <v>39225</v>
      </c>
      <c r="I20" s="35">
        <v>34721</v>
      </c>
    </row>
    <row r="21" spans="1:9" ht="12.75">
      <c r="A21" s="125"/>
      <c r="B21" s="125"/>
      <c r="C21" s="128" t="s">
        <v>78</v>
      </c>
      <c r="D21" s="34">
        <v>8763</v>
      </c>
      <c r="E21" s="34">
        <v>18446</v>
      </c>
      <c r="F21" s="34">
        <v>6369</v>
      </c>
      <c r="G21" s="34">
        <v>-7654</v>
      </c>
      <c r="H21" s="34">
        <v>494</v>
      </c>
      <c r="I21" s="34">
        <v>3840</v>
      </c>
    </row>
    <row r="22" spans="1:9" ht="12.75">
      <c r="A22" s="128"/>
      <c r="B22" s="130"/>
      <c r="C22" s="130" t="s">
        <v>106</v>
      </c>
      <c r="D22" s="33">
        <v>18637</v>
      </c>
      <c r="E22" s="33">
        <v>-38158</v>
      </c>
      <c r="F22" s="33">
        <v>-61137</v>
      </c>
      <c r="G22" s="33">
        <v>-109589</v>
      </c>
      <c r="H22" s="33">
        <v>-183447</v>
      </c>
      <c r="I22" s="33">
        <v>-3408</v>
      </c>
    </row>
    <row r="23" spans="1:9" ht="12.75">
      <c r="A23" s="125"/>
      <c r="B23" s="125"/>
      <c r="C23" s="128"/>
      <c r="D23" s="34">
        <f aca="true" t="shared" si="1" ref="D23:I23">SUM(D19:D22)</f>
        <v>9948</v>
      </c>
      <c r="E23" s="34">
        <f t="shared" si="1"/>
        <v>-215956</v>
      </c>
      <c r="F23" s="34">
        <f t="shared" si="1"/>
        <v>-53328</v>
      </c>
      <c r="G23" s="34">
        <f t="shared" si="1"/>
        <v>-180578</v>
      </c>
      <c r="H23" s="34">
        <f t="shared" si="1"/>
        <v>-112426</v>
      </c>
      <c r="I23" s="34">
        <f t="shared" si="1"/>
        <v>-17172</v>
      </c>
    </row>
    <row r="24" spans="1:9" ht="12.75">
      <c r="A24" s="128"/>
      <c r="B24" s="158"/>
      <c r="C24" s="158"/>
      <c r="D24" s="93">
        <f aca="true" t="shared" si="2" ref="D24:I24">D23+D17</f>
        <v>300986</v>
      </c>
      <c r="E24" s="93">
        <f t="shared" si="2"/>
        <v>-211030</v>
      </c>
      <c r="F24" s="93">
        <f t="shared" si="2"/>
        <v>188196</v>
      </c>
      <c r="G24" s="93">
        <f t="shared" si="2"/>
        <v>-62190</v>
      </c>
      <c r="H24" s="93">
        <f t="shared" si="2"/>
        <v>-740843</v>
      </c>
      <c r="I24" s="93">
        <f t="shared" si="2"/>
        <v>-891848</v>
      </c>
    </row>
    <row r="25" spans="1:9" ht="12.75">
      <c r="A25" s="32"/>
      <c r="B25" s="32"/>
      <c r="C25" s="32"/>
      <c r="D25" s="33"/>
      <c r="E25" s="33"/>
      <c r="F25" s="33"/>
      <c r="G25" s="33"/>
      <c r="H25" s="33"/>
      <c r="I25" s="33"/>
    </row>
    <row r="26" spans="1:9" ht="12.75">
      <c r="A26" s="125" t="s">
        <v>107</v>
      </c>
      <c r="B26" s="125"/>
      <c r="C26" s="125"/>
      <c r="D26" s="35"/>
      <c r="E26" s="35"/>
      <c r="F26" s="35"/>
      <c r="G26" s="35"/>
      <c r="H26" s="35"/>
      <c r="I26" s="35"/>
    </row>
    <row r="27" spans="1:9" ht="12.75">
      <c r="A27" s="125"/>
      <c r="B27" s="125" t="s">
        <v>108</v>
      </c>
      <c r="C27" s="125"/>
      <c r="D27" s="35">
        <v>0</v>
      </c>
      <c r="E27" s="35">
        <v>1350000</v>
      </c>
      <c r="F27" s="35">
        <v>0</v>
      </c>
      <c r="G27" s="35">
        <v>1100000</v>
      </c>
      <c r="H27" s="35">
        <v>675000</v>
      </c>
      <c r="I27" s="35">
        <v>1000000</v>
      </c>
    </row>
    <row r="28" spans="1:9" ht="12.75">
      <c r="A28" s="125"/>
      <c r="B28" s="125" t="s">
        <v>109</v>
      </c>
      <c r="C28" s="125"/>
      <c r="D28" s="35">
        <v>0</v>
      </c>
      <c r="E28" s="35">
        <v>0</v>
      </c>
      <c r="F28" s="35">
        <v>0</v>
      </c>
      <c r="G28" s="35">
        <v>0</v>
      </c>
      <c r="H28" s="35">
        <v>273769</v>
      </c>
      <c r="I28" s="35">
        <v>112022</v>
      </c>
    </row>
    <row r="29" spans="1:9" ht="12.75">
      <c r="A29" s="125"/>
      <c r="B29" s="128" t="s">
        <v>110</v>
      </c>
      <c r="C29" s="128"/>
      <c r="D29" s="34">
        <v>-225000</v>
      </c>
      <c r="E29" s="34">
        <v>-1218481</v>
      </c>
      <c r="F29" s="34">
        <v>-214452</v>
      </c>
      <c r="G29" s="34">
        <v>-811081</v>
      </c>
      <c r="H29" s="34">
        <v>-244452</v>
      </c>
      <c r="I29" s="34">
        <v>-83613</v>
      </c>
    </row>
    <row r="30" spans="1:9" ht="12.75">
      <c r="A30" s="125"/>
      <c r="B30" s="130" t="s">
        <v>111</v>
      </c>
      <c r="C30" s="130"/>
      <c r="D30" s="33">
        <v>0</v>
      </c>
      <c r="E30" s="33">
        <v>0</v>
      </c>
      <c r="F30" s="35">
        <v>57323</v>
      </c>
      <c r="G30" s="33">
        <v>36022</v>
      </c>
      <c r="H30" s="33">
        <v>0</v>
      </c>
      <c r="I30" s="33">
        <v>0</v>
      </c>
    </row>
    <row r="31" spans="1:9" ht="12.75">
      <c r="A31" s="128"/>
      <c r="B31" s="158"/>
      <c r="C31" s="158"/>
      <c r="D31" s="93">
        <f aca="true" t="shared" si="3" ref="D31:I31">SUM(D27:D30)</f>
        <v>-225000</v>
      </c>
      <c r="E31" s="93">
        <f t="shared" si="3"/>
        <v>131519</v>
      </c>
      <c r="F31" s="93">
        <f t="shared" si="3"/>
        <v>-157129</v>
      </c>
      <c r="G31" s="93">
        <f t="shared" si="3"/>
        <v>324941</v>
      </c>
      <c r="H31" s="93">
        <f t="shared" si="3"/>
        <v>704317</v>
      </c>
      <c r="I31" s="93">
        <f t="shared" si="3"/>
        <v>1028409</v>
      </c>
    </row>
    <row r="32" spans="1:9" ht="12.75">
      <c r="A32" s="32"/>
      <c r="B32" s="32"/>
      <c r="C32" s="32"/>
      <c r="D32" s="33"/>
      <c r="E32" s="33"/>
      <c r="F32" s="33"/>
      <c r="G32" s="33"/>
      <c r="H32" s="33"/>
      <c r="I32" s="33"/>
    </row>
    <row r="33" spans="1:9" ht="12.75">
      <c r="A33" s="125" t="s">
        <v>112</v>
      </c>
      <c r="B33" s="125"/>
      <c r="C33" s="125"/>
      <c r="D33" s="35"/>
      <c r="E33" s="35"/>
      <c r="F33" s="35"/>
      <c r="G33" s="35"/>
      <c r="H33" s="35"/>
      <c r="I33" s="35"/>
    </row>
    <row r="34" spans="1:9" ht="12.75">
      <c r="A34" s="125"/>
      <c r="B34" s="125" t="s">
        <v>113</v>
      </c>
      <c r="C34" s="125"/>
      <c r="D34" s="35">
        <v>0</v>
      </c>
      <c r="E34" s="35">
        <v>0</v>
      </c>
      <c r="F34" s="35">
        <v>0</v>
      </c>
      <c r="G34" s="35">
        <v>267100</v>
      </c>
      <c r="H34" s="35">
        <v>0</v>
      </c>
      <c r="I34" s="35">
        <v>0</v>
      </c>
    </row>
    <row r="35" spans="1:9" ht="12.75">
      <c r="A35" s="125"/>
      <c r="B35" s="125" t="s">
        <v>114</v>
      </c>
      <c r="C35" s="125"/>
      <c r="D35" s="35">
        <v>0</v>
      </c>
      <c r="E35" s="35">
        <v>0</v>
      </c>
      <c r="F35" s="35">
        <v>0</v>
      </c>
      <c r="G35" s="35">
        <v>149798</v>
      </c>
      <c r="H35" s="35">
        <v>0</v>
      </c>
      <c r="I35" s="35">
        <v>0</v>
      </c>
    </row>
    <row r="36" spans="1:9" ht="12.75">
      <c r="A36" s="125"/>
      <c r="B36" s="125" t="s">
        <v>115</v>
      </c>
      <c r="C36" s="125"/>
      <c r="D36" s="35">
        <v>0</v>
      </c>
      <c r="E36" s="35">
        <v>0</v>
      </c>
      <c r="F36" s="35">
        <v>0</v>
      </c>
      <c r="G36" s="35">
        <v>-10000</v>
      </c>
      <c r="H36" s="35">
        <v>0</v>
      </c>
      <c r="I36" s="35">
        <v>0</v>
      </c>
    </row>
    <row r="37" spans="1:9" ht="12.75">
      <c r="A37" s="125"/>
      <c r="B37" s="125" t="s">
        <v>116</v>
      </c>
      <c r="C37" s="125"/>
      <c r="D37" s="35">
        <v>0</v>
      </c>
      <c r="E37" s="35">
        <v>0</v>
      </c>
      <c r="F37" s="35">
        <v>0</v>
      </c>
      <c r="G37" s="35">
        <v>-293932</v>
      </c>
      <c r="H37" s="35">
        <v>0</v>
      </c>
      <c r="I37" s="35">
        <v>0</v>
      </c>
    </row>
    <row r="38" spans="1:9" ht="12.75">
      <c r="A38" s="125"/>
      <c r="B38" s="125" t="s">
        <v>117</v>
      </c>
      <c r="C38" s="125"/>
      <c r="D38" s="35">
        <v>0</v>
      </c>
      <c r="E38" s="35">
        <v>0</v>
      </c>
      <c r="F38" s="35">
        <v>-3529</v>
      </c>
      <c r="G38" s="35">
        <v>-33507</v>
      </c>
      <c r="H38" s="35">
        <v>0</v>
      </c>
      <c r="I38" s="35">
        <v>-49167</v>
      </c>
    </row>
    <row r="39" spans="1:9" ht="12.75">
      <c r="A39" s="125"/>
      <c r="B39" s="130" t="s">
        <v>118</v>
      </c>
      <c r="C39" s="130"/>
      <c r="D39" s="33">
        <v>-4284</v>
      </c>
      <c r="E39" s="33">
        <v>-108613</v>
      </c>
      <c r="F39" s="33">
        <v>0</v>
      </c>
      <c r="G39" s="33">
        <v>0</v>
      </c>
      <c r="H39" s="33">
        <v>0</v>
      </c>
      <c r="I39" s="33">
        <v>0</v>
      </c>
    </row>
    <row r="40" spans="1:9" ht="12.75">
      <c r="A40" s="128"/>
      <c r="B40" s="128"/>
      <c r="C40" s="128"/>
      <c r="D40" s="89">
        <f aca="true" t="shared" si="4" ref="D40:I40">SUM(D34:D39)</f>
        <v>-4284</v>
      </c>
      <c r="E40" s="89">
        <f t="shared" si="4"/>
        <v>-108613</v>
      </c>
      <c r="F40" s="89">
        <f t="shared" si="4"/>
        <v>-3529</v>
      </c>
      <c r="G40" s="89">
        <f t="shared" si="4"/>
        <v>79459</v>
      </c>
      <c r="H40" s="89">
        <f t="shared" si="4"/>
        <v>0</v>
      </c>
      <c r="I40" s="89">
        <f t="shared" si="4"/>
        <v>-49167</v>
      </c>
    </row>
    <row r="41" spans="1:9" ht="12.75">
      <c r="A41" s="32"/>
      <c r="B41" s="32"/>
      <c r="C41" s="32"/>
      <c r="D41" s="33"/>
      <c r="E41" s="33"/>
      <c r="F41" s="33"/>
      <c r="G41" s="33"/>
      <c r="H41" s="33"/>
      <c r="I41" s="33"/>
    </row>
    <row r="42" spans="1:9" ht="12.75">
      <c r="A42" s="128" t="s">
        <v>119</v>
      </c>
      <c r="B42" s="128"/>
      <c r="C42" s="128"/>
      <c r="D42" s="89">
        <f aca="true" t="shared" si="5" ref="D42:I42">D40+D31+D24</f>
        <v>71702</v>
      </c>
      <c r="E42" s="160">
        <f t="shared" si="5"/>
        <v>-188124</v>
      </c>
      <c r="F42" s="89">
        <f t="shared" si="5"/>
        <v>27538</v>
      </c>
      <c r="G42" s="89">
        <f t="shared" si="5"/>
        <v>342210</v>
      </c>
      <c r="H42" s="160">
        <f t="shared" si="5"/>
        <v>-36526</v>
      </c>
      <c r="I42" s="89">
        <f t="shared" si="5"/>
        <v>87394</v>
      </c>
    </row>
    <row r="43" spans="1:9" ht="12.75">
      <c r="A43" s="28"/>
      <c r="B43" s="28"/>
      <c r="C43" s="28"/>
      <c r="D43" s="34"/>
      <c r="E43" s="34"/>
      <c r="F43" s="34"/>
      <c r="G43" s="34"/>
      <c r="H43" s="34"/>
      <c r="I43" s="34"/>
    </row>
    <row r="44" spans="1:9" ht="12.75">
      <c r="A44" s="130" t="s">
        <v>120</v>
      </c>
      <c r="B44" s="130"/>
      <c r="C44" s="130"/>
      <c r="D44" s="33">
        <f>E45</f>
        <v>43478</v>
      </c>
      <c r="E44" s="33">
        <f>F45</f>
        <v>231602</v>
      </c>
      <c r="F44" s="33">
        <f>G45</f>
        <v>204064</v>
      </c>
      <c r="G44" s="33">
        <f>H45</f>
        <v>-138146</v>
      </c>
      <c r="H44" s="33">
        <f>I45</f>
        <v>-101620</v>
      </c>
      <c r="I44" s="33">
        <v>-189014</v>
      </c>
    </row>
    <row r="45" spans="1:9" ht="13.5" thickBot="1">
      <c r="A45" s="126" t="s">
        <v>121</v>
      </c>
      <c r="B45" s="126"/>
      <c r="C45" s="126"/>
      <c r="D45" s="98">
        <f aca="true" t="shared" si="6" ref="D45:I45">D42+D44</f>
        <v>115180</v>
      </c>
      <c r="E45" s="98">
        <f t="shared" si="6"/>
        <v>43478</v>
      </c>
      <c r="F45" s="98">
        <f t="shared" si="6"/>
        <v>231602</v>
      </c>
      <c r="G45" s="98">
        <f t="shared" si="6"/>
        <v>204064</v>
      </c>
      <c r="H45" s="159">
        <f t="shared" si="6"/>
        <v>-138146</v>
      </c>
      <c r="I45" s="159">
        <f t="shared" si="6"/>
        <v>-101620</v>
      </c>
    </row>
    <row r="46" spans="1:9" ht="12.75">
      <c r="A46" s="128" t="s">
        <v>122</v>
      </c>
      <c r="B46" s="128"/>
      <c r="C46" s="128"/>
      <c r="D46" s="34"/>
      <c r="E46" s="34"/>
      <c r="F46" s="34"/>
      <c r="G46" s="34"/>
      <c r="H46" s="34"/>
      <c r="I46" s="34"/>
    </row>
    <row r="47" spans="1:9" ht="13.5" thickBot="1">
      <c r="A47" s="126"/>
      <c r="B47" s="126" t="s">
        <v>123</v>
      </c>
      <c r="C47" s="126"/>
      <c r="D47" s="36">
        <v>110206</v>
      </c>
      <c r="E47" s="36">
        <v>113782</v>
      </c>
      <c r="F47" s="36">
        <v>103306</v>
      </c>
      <c r="G47" s="36">
        <v>113530</v>
      </c>
      <c r="H47" s="36">
        <v>97428</v>
      </c>
      <c r="I47" s="36">
        <v>112195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42"/>
  <sheetViews>
    <sheetView zoomScalePageLayoutView="0" workbookViewId="0" topLeftCell="A1">
      <selection activeCell="C1" sqref="C1:L16384"/>
    </sheetView>
  </sheetViews>
  <sheetFormatPr defaultColWidth="8.75390625" defaultRowHeight="12.75"/>
  <cols>
    <col min="1" max="1" width="3.375" style="27" customWidth="1"/>
    <col min="2" max="2" width="26.375" style="27" customWidth="1"/>
    <col min="3" max="3" width="11.375" style="27" bestFit="1" customWidth="1"/>
    <col min="4" max="4" width="4.375" style="103" bestFit="1" customWidth="1"/>
    <col min="5" max="5" width="11.375" style="27" bestFit="1" customWidth="1"/>
    <col min="6" max="6" width="4.375" style="103" bestFit="1" customWidth="1"/>
    <col min="7" max="7" width="11.375" style="27" bestFit="1" customWidth="1"/>
    <col min="8" max="8" width="4.375" style="103" bestFit="1" customWidth="1"/>
    <col min="9" max="9" width="11.375" style="27" bestFit="1" customWidth="1"/>
    <col min="10" max="10" width="4.375" style="103" bestFit="1" customWidth="1"/>
    <col min="11" max="11" width="11.375" style="27" bestFit="1" customWidth="1"/>
    <col min="12" max="12" width="4.375" style="103" bestFit="1" customWidth="1"/>
    <col min="13" max="16384" width="8.75390625" style="27" customWidth="1"/>
  </cols>
  <sheetData>
    <row r="1" spans="1:2" ht="15.75">
      <c r="A1" s="131" t="s">
        <v>180</v>
      </c>
      <c r="B1" s="131"/>
    </row>
    <row r="2" spans="1:2" ht="12.75">
      <c r="A2" s="39" t="s">
        <v>74</v>
      </c>
      <c r="B2" s="39"/>
    </row>
    <row r="3" spans="1:2" ht="12.75">
      <c r="A3" s="39" t="s">
        <v>136</v>
      </c>
      <c r="B3" s="39"/>
    </row>
    <row r="4" spans="1:12" ht="13.5" thickBot="1">
      <c r="A4" s="29"/>
      <c r="B4" s="29"/>
      <c r="C4" s="29"/>
      <c r="D4" s="104"/>
      <c r="E4" s="29"/>
      <c r="F4" s="104"/>
      <c r="G4" s="29"/>
      <c r="H4" s="104"/>
      <c r="I4" s="29"/>
      <c r="J4" s="104"/>
      <c r="K4" s="29"/>
      <c r="L4" s="104"/>
    </row>
    <row r="5" spans="1:11" ht="12.75">
      <c r="A5" s="37"/>
      <c r="B5" s="37"/>
      <c r="C5" s="132">
        <v>2006</v>
      </c>
      <c r="D5" s="148"/>
      <c r="E5" s="132">
        <v>2005</v>
      </c>
      <c r="F5" s="148"/>
      <c r="G5" s="132">
        <v>2004</v>
      </c>
      <c r="H5" s="148"/>
      <c r="I5" s="132">
        <v>2003</v>
      </c>
      <c r="J5" s="148"/>
      <c r="K5" s="132">
        <v>2002</v>
      </c>
    </row>
    <row r="6" spans="1:12" ht="12.75">
      <c r="A6" s="133" t="s">
        <v>75</v>
      </c>
      <c r="B6" s="133"/>
      <c r="C6" s="120"/>
      <c r="D6" s="145"/>
      <c r="E6" s="120"/>
      <c r="F6" s="145"/>
      <c r="G6" s="120"/>
      <c r="H6" s="145"/>
      <c r="I6" s="120"/>
      <c r="J6" s="145"/>
      <c r="K6" s="120"/>
      <c r="L6" s="145"/>
    </row>
    <row r="7" spans="1:12" ht="12.75">
      <c r="A7" s="58" t="s">
        <v>137</v>
      </c>
      <c r="B7" s="134"/>
      <c r="C7" s="135"/>
      <c r="D7" s="146"/>
      <c r="E7" s="135"/>
      <c r="F7" s="146"/>
      <c r="G7" s="135"/>
      <c r="H7" s="146"/>
      <c r="I7" s="135"/>
      <c r="J7" s="146"/>
      <c r="K7" s="135"/>
      <c r="L7" s="146"/>
    </row>
    <row r="8" spans="1:12" ht="12.75">
      <c r="A8" s="28"/>
      <c r="B8" s="58" t="s">
        <v>77</v>
      </c>
      <c r="C8" s="60">
        <v>115180</v>
      </c>
      <c r="D8" s="116">
        <f aca="true" t="shared" si="0" ref="D8:D17">C8/$C$19</f>
        <v>0.03095611611741823</v>
      </c>
      <c r="E8" s="60">
        <v>43478</v>
      </c>
      <c r="F8" s="116">
        <f aca="true" t="shared" si="1" ref="F8:F17">E8/$E$19</f>
        <v>0.010932869645683794</v>
      </c>
      <c r="G8" s="60">
        <v>231602</v>
      </c>
      <c r="H8" s="116">
        <f aca="true" t="shared" si="2" ref="H8:H17">G8/$G$19</f>
        <v>0.05433730411406794</v>
      </c>
      <c r="I8" s="60">
        <v>204064</v>
      </c>
      <c r="J8" s="116">
        <f aca="true" t="shared" si="3" ref="J8:J17">I8/$I$19</f>
        <v>0.03939387972496252</v>
      </c>
      <c r="K8" s="107">
        <v>0</v>
      </c>
      <c r="L8" s="116">
        <f aca="true" t="shared" si="4" ref="L8:L17">K8/$K$19</f>
        <v>0</v>
      </c>
    </row>
    <row r="9" spans="1:12" ht="12.75">
      <c r="A9" s="28"/>
      <c r="B9" s="58" t="s">
        <v>64</v>
      </c>
      <c r="C9" s="60">
        <v>358024</v>
      </c>
      <c r="D9" s="116">
        <f t="shared" si="0"/>
        <v>0.09622358496980851</v>
      </c>
      <c r="E9" s="60">
        <v>299178</v>
      </c>
      <c r="F9" s="116">
        <f t="shared" si="1"/>
        <v>0.07523055510502752</v>
      </c>
      <c r="G9" s="60">
        <v>141743</v>
      </c>
      <c r="H9" s="116">
        <f t="shared" si="2"/>
        <v>0.03325503448605941</v>
      </c>
      <c r="I9" s="60">
        <v>126481</v>
      </c>
      <c r="J9" s="116">
        <f t="shared" si="3"/>
        <v>0.02441673838351196</v>
      </c>
      <c r="K9" s="60">
        <v>73730</v>
      </c>
      <c r="L9" s="116">
        <f t="shared" si="4"/>
        <v>0.017298330627805288</v>
      </c>
    </row>
    <row r="10" spans="1:12" ht="12.75">
      <c r="A10" s="28"/>
      <c r="B10" s="58" t="s">
        <v>65</v>
      </c>
      <c r="C10" s="60">
        <v>212058</v>
      </c>
      <c r="D10" s="116">
        <f t="shared" si="0"/>
        <v>0.056993332797599196</v>
      </c>
      <c r="E10" s="60">
        <v>253455</v>
      </c>
      <c r="F10" s="116">
        <f t="shared" si="1"/>
        <v>0.06373316334805618</v>
      </c>
      <c r="G10" s="60">
        <v>214645</v>
      </c>
      <c r="H10" s="116">
        <f t="shared" si="2"/>
        <v>0.050358937494339916</v>
      </c>
      <c r="I10" s="60">
        <v>231347</v>
      </c>
      <c r="J10" s="116">
        <f t="shared" si="3"/>
        <v>0.044660772565131054</v>
      </c>
      <c r="K10" s="60">
        <v>105914</v>
      </c>
      <c r="L10" s="116">
        <f t="shared" si="4"/>
        <v>0.024849252544600155</v>
      </c>
    </row>
    <row r="11" spans="1:12" ht="12.75">
      <c r="A11" s="28"/>
      <c r="B11" s="58" t="s">
        <v>78</v>
      </c>
      <c r="C11" s="60">
        <v>13690</v>
      </c>
      <c r="D11" s="116">
        <f t="shared" si="0"/>
        <v>0.0036793647303998574</v>
      </c>
      <c r="E11" s="60">
        <v>22453</v>
      </c>
      <c r="F11" s="116">
        <f t="shared" si="1"/>
        <v>0.005645975485407292</v>
      </c>
      <c r="G11" s="60">
        <v>40899</v>
      </c>
      <c r="H11" s="116">
        <f t="shared" si="2"/>
        <v>0.009595519041119095</v>
      </c>
      <c r="I11" s="60">
        <v>47268</v>
      </c>
      <c r="J11" s="116">
        <f t="shared" si="3"/>
        <v>0.009124930937546693</v>
      </c>
      <c r="K11" s="60">
        <v>99644</v>
      </c>
      <c r="L11" s="116">
        <f t="shared" si="4"/>
        <v>0.023378202320317783</v>
      </c>
    </row>
    <row r="12" spans="1:12" ht="12.75">
      <c r="A12" s="28"/>
      <c r="B12" s="51" t="s">
        <v>91</v>
      </c>
      <c r="C12" s="53">
        <v>0</v>
      </c>
      <c r="D12" s="117">
        <f t="shared" si="0"/>
        <v>0</v>
      </c>
      <c r="E12" s="53">
        <v>0</v>
      </c>
      <c r="F12" s="117">
        <f t="shared" si="1"/>
        <v>0</v>
      </c>
      <c r="G12" s="53">
        <v>45897</v>
      </c>
      <c r="H12" s="117">
        <f t="shared" si="2"/>
        <v>0.01076812483019739</v>
      </c>
      <c r="I12" s="53">
        <v>116964</v>
      </c>
      <c r="J12" s="117">
        <f t="shared" si="3"/>
        <v>0.022579513035863828</v>
      </c>
      <c r="K12" s="53">
        <v>13331</v>
      </c>
      <c r="L12" s="117">
        <f t="shared" si="4"/>
        <v>0.0031276827017397576</v>
      </c>
    </row>
    <row r="13" spans="1:12" ht="12.75">
      <c r="A13" s="37"/>
      <c r="B13" s="37"/>
      <c r="C13" s="90">
        <f>SUM(C8:C12)</f>
        <v>698952</v>
      </c>
      <c r="D13" s="116">
        <f t="shared" si="0"/>
        <v>0.1878523986152258</v>
      </c>
      <c r="E13" s="90">
        <f>SUM(E8:E12)</f>
        <v>618564</v>
      </c>
      <c r="F13" s="116">
        <f t="shared" si="1"/>
        <v>0.1555425635841748</v>
      </c>
      <c r="G13" s="90">
        <f>SUM(G8:G12)</f>
        <v>674786</v>
      </c>
      <c r="H13" s="116">
        <f t="shared" si="2"/>
        <v>0.15831491996578376</v>
      </c>
      <c r="I13" s="90">
        <f>SUM(I8:I12)</f>
        <v>726124</v>
      </c>
      <c r="J13" s="116">
        <f t="shared" si="3"/>
        <v>0.14017583464701605</v>
      </c>
      <c r="K13" s="90">
        <f>SUM(K8:K12)</f>
        <v>292619</v>
      </c>
      <c r="L13" s="116">
        <f t="shared" si="4"/>
        <v>0.06865346819446298</v>
      </c>
    </row>
    <row r="14" spans="1:12" ht="12.75">
      <c r="A14" s="37"/>
      <c r="B14" s="37"/>
      <c r="C14" s="90"/>
      <c r="D14" s="116"/>
      <c r="E14" s="90"/>
      <c r="F14" s="116"/>
      <c r="G14" s="60"/>
      <c r="H14" s="116"/>
      <c r="I14" s="60"/>
      <c r="J14" s="116"/>
      <c r="K14" s="107"/>
      <c r="L14" s="116"/>
    </row>
    <row r="15" spans="1:12" ht="12.75">
      <c r="A15" s="39" t="s">
        <v>79</v>
      </c>
      <c r="B15" s="39"/>
      <c r="C15" s="60">
        <v>3021799</v>
      </c>
      <c r="D15" s="116">
        <f t="shared" si="0"/>
        <v>0.8121476013847742</v>
      </c>
      <c r="E15" s="60">
        <v>3358251</v>
      </c>
      <c r="F15" s="116">
        <f t="shared" si="1"/>
        <v>0.8444574364158253</v>
      </c>
      <c r="G15" s="60">
        <v>3587516</v>
      </c>
      <c r="H15" s="116">
        <f t="shared" si="2"/>
        <v>0.8416850800342163</v>
      </c>
      <c r="I15" s="60">
        <v>3922314</v>
      </c>
      <c r="J15" s="116">
        <f t="shared" si="3"/>
        <v>0.7571897343947812</v>
      </c>
      <c r="K15" s="60">
        <v>3969642</v>
      </c>
      <c r="L15" s="116">
        <f t="shared" si="4"/>
        <v>0.9313465318055371</v>
      </c>
    </row>
    <row r="16" spans="1:12" ht="12.75">
      <c r="A16" s="39" t="s">
        <v>92</v>
      </c>
      <c r="B16" s="39"/>
      <c r="C16" s="60">
        <v>0</v>
      </c>
      <c r="D16" s="116">
        <f t="shared" si="0"/>
        <v>0</v>
      </c>
      <c r="E16" s="60">
        <v>0</v>
      </c>
      <c r="F16" s="116">
        <f t="shared" si="1"/>
        <v>0</v>
      </c>
      <c r="G16" s="60">
        <v>0</v>
      </c>
      <c r="H16" s="116">
        <f t="shared" si="2"/>
        <v>0</v>
      </c>
      <c r="I16" s="60">
        <v>531656</v>
      </c>
      <c r="J16" s="116">
        <f t="shared" si="3"/>
        <v>0.10263443095820268</v>
      </c>
      <c r="K16" s="107"/>
      <c r="L16" s="116">
        <f t="shared" si="4"/>
        <v>0</v>
      </c>
    </row>
    <row r="17" spans="1:12" ht="12.75">
      <c r="A17" s="69"/>
      <c r="B17" s="69"/>
      <c r="C17" s="94">
        <f>SUM(C15:C16)</f>
        <v>3021799</v>
      </c>
      <c r="D17" s="115">
        <f t="shared" si="0"/>
        <v>0.8121476013847742</v>
      </c>
      <c r="E17" s="94">
        <f aca="true" t="shared" si="5" ref="E17:K17">SUM(E15:E16)</f>
        <v>3358251</v>
      </c>
      <c r="F17" s="115">
        <f t="shared" si="1"/>
        <v>0.8444574364158253</v>
      </c>
      <c r="G17" s="94">
        <f t="shared" si="5"/>
        <v>3587516</v>
      </c>
      <c r="H17" s="115">
        <f t="shared" si="2"/>
        <v>0.8416850800342163</v>
      </c>
      <c r="I17" s="94">
        <f t="shared" si="5"/>
        <v>4453970</v>
      </c>
      <c r="J17" s="115">
        <f t="shared" si="3"/>
        <v>0.8598241653529839</v>
      </c>
      <c r="K17" s="94">
        <f t="shared" si="5"/>
        <v>3969642</v>
      </c>
      <c r="L17" s="115">
        <f t="shared" si="4"/>
        <v>0.9313465318055371</v>
      </c>
    </row>
    <row r="18" spans="1:12" ht="12.75">
      <c r="A18" s="51"/>
      <c r="B18" s="51"/>
      <c r="C18" s="53"/>
      <c r="D18" s="117"/>
      <c r="E18" s="53"/>
      <c r="F18" s="117"/>
      <c r="G18" s="53"/>
      <c r="H18" s="117"/>
      <c r="I18" s="53"/>
      <c r="J18" s="117"/>
      <c r="K18" s="95"/>
      <c r="L18" s="117"/>
    </row>
    <row r="19" spans="1:12" ht="12.75">
      <c r="A19" s="37"/>
      <c r="B19" s="37"/>
      <c r="C19" s="90">
        <f>C17+C13</f>
        <v>3720751</v>
      </c>
      <c r="D19" s="116">
        <f>C19/$C$19</f>
        <v>1</v>
      </c>
      <c r="E19" s="90">
        <f aca="true" t="shared" si="6" ref="E19:K19">E17+E13</f>
        <v>3976815</v>
      </c>
      <c r="F19" s="116">
        <f>E19/$E$19</f>
        <v>1</v>
      </c>
      <c r="G19" s="90">
        <f t="shared" si="6"/>
        <v>4262302</v>
      </c>
      <c r="H19" s="116">
        <f>G19/$G$19</f>
        <v>1</v>
      </c>
      <c r="I19" s="90">
        <f t="shared" si="6"/>
        <v>5180094</v>
      </c>
      <c r="J19" s="116">
        <f>I19/$I$19</f>
        <v>1</v>
      </c>
      <c r="K19" s="90">
        <f t="shared" si="6"/>
        <v>4262261</v>
      </c>
      <c r="L19" s="116">
        <f>K19/$K$19</f>
        <v>1</v>
      </c>
    </row>
    <row r="20" spans="1:12" ht="12.75">
      <c r="A20" s="37"/>
      <c r="B20" s="37"/>
      <c r="C20" s="90"/>
      <c r="D20" s="116"/>
      <c r="E20" s="90"/>
      <c r="F20" s="116"/>
      <c r="G20" s="90"/>
      <c r="H20" s="116"/>
      <c r="I20" s="90"/>
      <c r="J20" s="116"/>
      <c r="K20" s="90"/>
      <c r="L20" s="146"/>
    </row>
    <row r="21" spans="1:12" ht="12.75">
      <c r="A21" s="133" t="s">
        <v>80</v>
      </c>
      <c r="B21" s="133"/>
      <c r="C21" s="136"/>
      <c r="D21" s="113"/>
      <c r="E21" s="136"/>
      <c r="F21" s="113"/>
      <c r="G21" s="136"/>
      <c r="H21" s="113"/>
      <c r="I21" s="136"/>
      <c r="J21" s="113"/>
      <c r="K21" s="136"/>
      <c r="L21" s="145"/>
    </row>
    <row r="22" spans="1:12" ht="12.75">
      <c r="A22" s="58" t="s">
        <v>138</v>
      </c>
      <c r="B22" s="134"/>
      <c r="C22" s="107"/>
      <c r="D22" s="110"/>
      <c r="E22" s="107"/>
      <c r="F22" s="110"/>
      <c r="G22" s="107"/>
      <c r="H22" s="110"/>
      <c r="I22" s="107"/>
      <c r="J22" s="110"/>
      <c r="K22" s="107"/>
      <c r="L22" s="146"/>
    </row>
    <row r="23" spans="1:12" ht="12.75">
      <c r="A23" s="28"/>
      <c r="B23" s="58" t="s">
        <v>93</v>
      </c>
      <c r="C23" s="107">
        <v>0</v>
      </c>
      <c r="D23" s="116">
        <f aca="true" t="shared" si="7" ref="D23:D40">C23/$C$42</f>
        <v>0</v>
      </c>
      <c r="E23" s="107">
        <v>0</v>
      </c>
      <c r="F23" s="116">
        <f aca="true" t="shared" si="8" ref="F23:F40">E23/$E$42</f>
        <v>0</v>
      </c>
      <c r="G23" s="107">
        <v>0</v>
      </c>
      <c r="H23" s="116">
        <f aca="true" t="shared" si="9" ref="H23:H40">G23/$G$42</f>
        <v>0</v>
      </c>
      <c r="I23" s="107">
        <v>0</v>
      </c>
      <c r="J23" s="116">
        <f aca="true" t="shared" si="10" ref="J23:J40">I23/$I$42</f>
        <v>0</v>
      </c>
      <c r="K23" s="60">
        <v>138146</v>
      </c>
      <c r="L23" s="116">
        <f aca="true" t="shared" si="11" ref="L23:L40">K23/$K$42</f>
        <v>0.03241143608990627</v>
      </c>
    </row>
    <row r="24" spans="1:12" ht="12.75">
      <c r="A24" s="28"/>
      <c r="B24" s="58" t="s">
        <v>81</v>
      </c>
      <c r="C24" s="60">
        <v>353895</v>
      </c>
      <c r="D24" s="116">
        <f t="shared" si="7"/>
        <v>0.0951138627658771</v>
      </c>
      <c r="E24" s="60">
        <v>335261</v>
      </c>
      <c r="F24" s="116">
        <f t="shared" si="8"/>
        <v>0.08430389645985543</v>
      </c>
      <c r="G24" s="60">
        <v>373418</v>
      </c>
      <c r="H24" s="116">
        <f t="shared" si="9"/>
        <v>0.087609465495406</v>
      </c>
      <c r="I24" s="60">
        <v>434555</v>
      </c>
      <c r="J24" s="116">
        <f t="shared" si="10"/>
        <v>0.08388940432355088</v>
      </c>
      <c r="K24" s="60">
        <v>239585</v>
      </c>
      <c r="L24" s="116">
        <f t="shared" si="11"/>
        <v>0.05621077639309277</v>
      </c>
    </row>
    <row r="25" spans="1:12" ht="12.75">
      <c r="A25" s="28"/>
      <c r="B25" s="58" t="s">
        <v>82</v>
      </c>
      <c r="C25" s="60">
        <v>225000</v>
      </c>
      <c r="D25" s="116">
        <f t="shared" si="7"/>
        <v>0.060471662844409635</v>
      </c>
      <c r="E25" s="60">
        <v>225000</v>
      </c>
      <c r="F25" s="116">
        <f t="shared" si="8"/>
        <v>0.05657793988405294</v>
      </c>
      <c r="G25" s="60">
        <v>1199731</v>
      </c>
      <c r="H25" s="116">
        <f t="shared" si="9"/>
        <v>0.2814748931445965</v>
      </c>
      <c r="I25" s="60">
        <v>1414183</v>
      </c>
      <c r="J25" s="116">
        <f t="shared" si="10"/>
        <v>0.27300334704350926</v>
      </c>
      <c r="K25" s="60">
        <v>3139426</v>
      </c>
      <c r="L25" s="116">
        <f t="shared" si="11"/>
        <v>0.7365635281368269</v>
      </c>
    </row>
    <row r="26" spans="1:12" ht="12.75">
      <c r="A26" s="28"/>
      <c r="B26" s="51" t="s">
        <v>83</v>
      </c>
      <c r="C26" s="53">
        <v>14414</v>
      </c>
      <c r="D26" s="117">
        <f t="shared" si="7"/>
        <v>0.003873949103285869</v>
      </c>
      <c r="E26" s="53">
        <v>14414</v>
      </c>
      <c r="F26" s="117">
        <f t="shared" si="8"/>
        <v>0.0036245085577277293</v>
      </c>
      <c r="G26" s="53">
        <v>14414</v>
      </c>
      <c r="H26" s="117">
        <f t="shared" si="9"/>
        <v>0.0033817406650209205</v>
      </c>
      <c r="I26" s="53">
        <v>14414</v>
      </c>
      <c r="J26" s="117">
        <f t="shared" si="10"/>
        <v>0.0027825749880214527</v>
      </c>
      <c r="K26" s="53">
        <v>8124</v>
      </c>
      <c r="L26" s="117">
        <f t="shared" si="11"/>
        <v>0.0019060306255295019</v>
      </c>
    </row>
    <row r="27" spans="1:12" ht="12.75">
      <c r="A27" s="37"/>
      <c r="B27" s="37"/>
      <c r="C27" s="90">
        <f>SUM(C23:C26)</f>
        <v>593309</v>
      </c>
      <c r="D27" s="116">
        <f t="shared" si="7"/>
        <v>0.1594594747135726</v>
      </c>
      <c r="E27" s="90">
        <f aca="true" t="shared" si="12" ref="E27:K27">SUM(E23:E26)</f>
        <v>574675</v>
      </c>
      <c r="F27" s="116">
        <f t="shared" si="8"/>
        <v>0.1445063449016361</v>
      </c>
      <c r="G27" s="90">
        <f t="shared" si="12"/>
        <v>1587563</v>
      </c>
      <c r="H27" s="116">
        <f t="shared" si="9"/>
        <v>0.37246609930502345</v>
      </c>
      <c r="I27" s="90">
        <f t="shared" si="12"/>
        <v>1863152</v>
      </c>
      <c r="J27" s="116">
        <f t="shared" si="10"/>
        <v>0.3596753263550816</v>
      </c>
      <c r="K27" s="90">
        <f t="shared" si="12"/>
        <v>3525281</v>
      </c>
      <c r="L27" s="116">
        <f t="shared" si="11"/>
        <v>0.8270917712453555</v>
      </c>
    </row>
    <row r="28" spans="1:12" ht="12.75">
      <c r="A28" s="37"/>
      <c r="B28" s="37"/>
      <c r="C28" s="90"/>
      <c r="D28" s="116"/>
      <c r="E28" s="90"/>
      <c r="F28" s="116"/>
      <c r="G28" s="90"/>
      <c r="H28" s="116"/>
      <c r="I28" s="90"/>
      <c r="J28" s="116"/>
      <c r="K28" s="90"/>
      <c r="L28" s="116"/>
    </row>
    <row r="29" spans="1:12" ht="12.75">
      <c r="A29" s="39" t="s">
        <v>84</v>
      </c>
      <c r="B29" s="39"/>
      <c r="C29" s="60">
        <v>881250</v>
      </c>
      <c r="D29" s="116">
        <f t="shared" si="7"/>
        <v>0.2368473461406044</v>
      </c>
      <c r="E29" s="60">
        <v>1106250</v>
      </c>
      <c r="F29" s="116">
        <f t="shared" si="8"/>
        <v>0.2781748710965936</v>
      </c>
      <c r="G29" s="107">
        <v>0</v>
      </c>
      <c r="H29" s="116">
        <f t="shared" si="9"/>
        <v>0</v>
      </c>
      <c r="I29" s="107">
        <v>0</v>
      </c>
      <c r="J29" s="116">
        <f t="shared" si="10"/>
        <v>0</v>
      </c>
      <c r="K29" s="107">
        <v>0</v>
      </c>
      <c r="L29" s="116">
        <f t="shared" si="11"/>
        <v>0</v>
      </c>
    </row>
    <row r="30" spans="1:12" ht="12.75">
      <c r="A30" s="39" t="s">
        <v>85</v>
      </c>
      <c r="B30" s="39"/>
      <c r="C30" s="60">
        <v>907991</v>
      </c>
      <c r="D30" s="116">
        <f t="shared" si="7"/>
        <v>0.244034336078926</v>
      </c>
      <c r="E30" s="60">
        <v>850668</v>
      </c>
      <c r="F30" s="116">
        <f t="shared" si="8"/>
        <v>0.2139068576235002</v>
      </c>
      <c r="G30" s="60">
        <v>793345</v>
      </c>
      <c r="H30" s="116">
        <f t="shared" si="9"/>
        <v>0.18613064020334552</v>
      </c>
      <c r="I30" s="60">
        <v>736022</v>
      </c>
      <c r="J30" s="116">
        <f t="shared" si="10"/>
        <v>0.14208661078351087</v>
      </c>
      <c r="K30" s="107">
        <v>0</v>
      </c>
      <c r="L30" s="116">
        <f t="shared" si="11"/>
        <v>0</v>
      </c>
    </row>
    <row r="31" spans="1:12" ht="12.75">
      <c r="A31" s="39" t="s">
        <v>86</v>
      </c>
      <c r="B31" s="39"/>
      <c r="C31" s="60">
        <v>26424</v>
      </c>
      <c r="D31" s="116">
        <f t="shared" si="7"/>
        <v>0.007101792084447468</v>
      </c>
      <c r="E31" s="60">
        <v>40838</v>
      </c>
      <c r="F31" s="116">
        <f t="shared" si="8"/>
        <v>0.010269021817710907</v>
      </c>
      <c r="G31" s="60">
        <v>55252</v>
      </c>
      <c r="H31" s="116">
        <f t="shared" si="9"/>
        <v>0.012962948190907167</v>
      </c>
      <c r="I31" s="60">
        <v>69667</v>
      </c>
      <c r="J31" s="116">
        <f t="shared" si="10"/>
        <v>0.013448983744310432</v>
      </c>
      <c r="K31" s="60">
        <v>50097</v>
      </c>
      <c r="L31" s="116">
        <f t="shared" si="11"/>
        <v>0.011753620906837944</v>
      </c>
    </row>
    <row r="32" spans="1:12" ht="12.75">
      <c r="A32" s="92"/>
      <c r="B32" s="92"/>
      <c r="C32" s="94">
        <f>SUM(C29:C31)</f>
        <v>1815665</v>
      </c>
      <c r="D32" s="115">
        <f t="shared" si="7"/>
        <v>0.48798347430397787</v>
      </c>
      <c r="E32" s="94">
        <f aca="true" t="shared" si="13" ref="E32:K32">SUM(E29:E31)</f>
        <v>1997756</v>
      </c>
      <c r="F32" s="115">
        <f t="shared" si="8"/>
        <v>0.5023507505378048</v>
      </c>
      <c r="G32" s="94">
        <f t="shared" si="13"/>
        <v>848597</v>
      </c>
      <c r="H32" s="115">
        <f t="shared" si="9"/>
        <v>0.19909358839425267</v>
      </c>
      <c r="I32" s="94">
        <f t="shared" si="13"/>
        <v>805689</v>
      </c>
      <c r="J32" s="115">
        <f t="shared" si="10"/>
        <v>0.1555355945278213</v>
      </c>
      <c r="K32" s="94">
        <f t="shared" si="13"/>
        <v>50097</v>
      </c>
      <c r="L32" s="115">
        <f t="shared" si="11"/>
        <v>0.011753620906837944</v>
      </c>
    </row>
    <row r="33" spans="1:12" ht="12.75">
      <c r="A33" s="41"/>
      <c r="B33" s="41"/>
      <c r="C33" s="87"/>
      <c r="D33" s="117"/>
      <c r="E33" s="87"/>
      <c r="F33" s="117"/>
      <c r="G33" s="87"/>
      <c r="H33" s="117"/>
      <c r="I33" s="87"/>
      <c r="J33" s="117"/>
      <c r="K33" s="87"/>
      <c r="L33" s="117"/>
    </row>
    <row r="34" spans="1:12" ht="12.75">
      <c r="A34" s="37" t="s">
        <v>66</v>
      </c>
      <c r="B34" s="37"/>
      <c r="C34" s="90">
        <f>C32+C27</f>
        <v>2408974</v>
      </c>
      <c r="D34" s="116">
        <f t="shared" si="7"/>
        <v>0.6474429490175505</v>
      </c>
      <c r="E34" s="90">
        <f aca="true" t="shared" si="14" ref="E34:K34">E32+E27</f>
        <v>2572431</v>
      </c>
      <c r="F34" s="116">
        <f t="shared" si="8"/>
        <v>0.6468570954394408</v>
      </c>
      <c r="G34" s="90">
        <f t="shared" si="14"/>
        <v>2436160</v>
      </c>
      <c r="H34" s="116">
        <f t="shared" si="9"/>
        <v>0.5715596876992761</v>
      </c>
      <c r="I34" s="90">
        <f t="shared" si="14"/>
        <v>2668841</v>
      </c>
      <c r="J34" s="116">
        <f t="shared" si="10"/>
        <v>0.5152109208829029</v>
      </c>
      <c r="K34" s="90">
        <f t="shared" si="14"/>
        <v>3575378</v>
      </c>
      <c r="L34" s="116">
        <f t="shared" si="11"/>
        <v>0.8388453921521934</v>
      </c>
    </row>
    <row r="35" spans="1:12" ht="12.75">
      <c r="A35" s="37"/>
      <c r="B35" s="37"/>
      <c r="C35" s="90"/>
      <c r="D35" s="116"/>
      <c r="E35" s="90"/>
      <c r="F35" s="116"/>
      <c r="G35" s="90"/>
      <c r="H35" s="116"/>
      <c r="I35" s="90"/>
      <c r="J35" s="116"/>
      <c r="K35" s="90"/>
      <c r="L35" s="116"/>
    </row>
    <row r="36" spans="1:12" ht="12.75">
      <c r="A36" s="133" t="s">
        <v>87</v>
      </c>
      <c r="B36" s="133"/>
      <c r="C36" s="136"/>
      <c r="D36" s="115"/>
      <c r="E36" s="136"/>
      <c r="F36" s="115"/>
      <c r="G36" s="136"/>
      <c r="H36" s="115"/>
      <c r="I36" s="136"/>
      <c r="J36" s="115"/>
      <c r="K36" s="136"/>
      <c r="L36" s="115"/>
    </row>
    <row r="37" spans="1:12" ht="12.75">
      <c r="A37" s="58" t="s">
        <v>88</v>
      </c>
      <c r="B37" s="58"/>
      <c r="C37" s="60">
        <v>6929251</v>
      </c>
      <c r="D37" s="116">
        <f t="shared" si="7"/>
        <v>1.8623259121612814</v>
      </c>
      <c r="E37" s="60">
        <v>6929251</v>
      </c>
      <c r="F37" s="116">
        <f t="shared" si="8"/>
        <v>1.7424122067533943</v>
      </c>
      <c r="G37" s="60">
        <v>6929251</v>
      </c>
      <c r="H37" s="116">
        <f t="shared" si="9"/>
        <v>1.6257062498152406</v>
      </c>
      <c r="I37" s="60">
        <v>6929251</v>
      </c>
      <c r="J37" s="116">
        <f t="shared" si="10"/>
        <v>1.3376689689414902</v>
      </c>
      <c r="K37" s="60">
        <v>4629163</v>
      </c>
      <c r="L37" s="116">
        <f t="shared" si="11"/>
        <v>1.0860815421674084</v>
      </c>
    </row>
    <row r="38" spans="1:12" ht="12.75">
      <c r="A38" s="58" t="s">
        <v>89</v>
      </c>
      <c r="B38" s="58"/>
      <c r="C38" s="60">
        <v>-5639918</v>
      </c>
      <c r="D38" s="116">
        <f t="shared" si="7"/>
        <v>-1.5158009767382983</v>
      </c>
      <c r="E38" s="60">
        <v>-5547311</v>
      </c>
      <c r="F38" s="116">
        <f t="shared" si="8"/>
        <v>-1.3949130145606472</v>
      </c>
      <c r="G38" s="60">
        <v>-5125553</v>
      </c>
      <c r="H38" s="116">
        <f t="shared" si="9"/>
        <v>-1.2025316366601897</v>
      </c>
      <c r="I38" s="60">
        <v>-4440442</v>
      </c>
      <c r="J38" s="116">
        <f t="shared" si="10"/>
        <v>-0.8572126297322018</v>
      </c>
      <c r="K38" s="60">
        <v>-3942280</v>
      </c>
      <c r="L38" s="116">
        <f t="shared" si="11"/>
        <v>-0.9249269343196017</v>
      </c>
    </row>
    <row r="39" spans="1:12" ht="12.75">
      <c r="A39" s="51" t="s">
        <v>90</v>
      </c>
      <c r="B39" s="51"/>
      <c r="C39" s="53">
        <v>22444</v>
      </c>
      <c r="D39" s="117">
        <f t="shared" si="7"/>
        <v>0.006032115559466355</v>
      </c>
      <c r="E39" s="53">
        <v>22444</v>
      </c>
      <c r="F39" s="117">
        <f t="shared" si="8"/>
        <v>0.00564371236781193</v>
      </c>
      <c r="G39" s="53">
        <v>22444</v>
      </c>
      <c r="H39" s="117">
        <f t="shared" si="9"/>
        <v>0.0052656991456729255</v>
      </c>
      <c r="I39" s="53">
        <v>22444</v>
      </c>
      <c r="J39" s="117">
        <f t="shared" si="10"/>
        <v>0.004332739907808623</v>
      </c>
      <c r="K39" s="95">
        <v>0</v>
      </c>
      <c r="L39" s="117">
        <f t="shared" si="11"/>
        <v>0</v>
      </c>
    </row>
    <row r="40" spans="1:12" ht="12.75">
      <c r="A40" s="37"/>
      <c r="B40" s="37"/>
      <c r="C40" s="90">
        <f>SUM(C37:C39)</f>
        <v>1311777</v>
      </c>
      <c r="D40" s="116">
        <f t="shared" si="7"/>
        <v>0.3525570509824495</v>
      </c>
      <c r="E40" s="90">
        <f aca="true" t="shared" si="15" ref="E40:K40">SUM(E37:E39)</f>
        <v>1404384</v>
      </c>
      <c r="F40" s="116">
        <f t="shared" si="8"/>
        <v>0.35314290456055913</v>
      </c>
      <c r="G40" s="90">
        <f t="shared" si="15"/>
        <v>1826142</v>
      </c>
      <c r="H40" s="116">
        <f t="shared" si="9"/>
        <v>0.4284403123007239</v>
      </c>
      <c r="I40" s="90">
        <f t="shared" si="15"/>
        <v>2511253</v>
      </c>
      <c r="J40" s="116">
        <f t="shared" si="10"/>
        <v>0.4847890791170971</v>
      </c>
      <c r="K40" s="90">
        <f t="shared" si="15"/>
        <v>686883</v>
      </c>
      <c r="L40" s="116">
        <f t="shared" si="11"/>
        <v>0.1611546078478066</v>
      </c>
    </row>
    <row r="41" spans="1:12" ht="12.75">
      <c r="A41" s="37"/>
      <c r="B41" s="37"/>
      <c r="C41" s="107"/>
      <c r="D41" s="116"/>
      <c r="E41" s="107"/>
      <c r="F41" s="116"/>
      <c r="G41" s="107"/>
      <c r="H41" s="116"/>
      <c r="I41" s="107"/>
      <c r="J41" s="116"/>
      <c r="K41" s="107"/>
      <c r="L41" s="116"/>
    </row>
    <row r="42" spans="1:12" ht="13.5" thickBot="1">
      <c r="A42" s="29"/>
      <c r="B42" s="29"/>
      <c r="C42" s="99">
        <f>C40+C34</f>
        <v>3720751</v>
      </c>
      <c r="D42" s="147">
        <f>C42/$C$42</f>
        <v>1</v>
      </c>
      <c r="E42" s="99">
        <f aca="true" t="shared" si="16" ref="E42:K42">E40+E34</f>
        <v>3976815</v>
      </c>
      <c r="F42" s="147">
        <f>E42/$E$42</f>
        <v>1</v>
      </c>
      <c r="G42" s="99">
        <f t="shared" si="16"/>
        <v>4262302</v>
      </c>
      <c r="H42" s="147">
        <f>G42/$G$42</f>
        <v>1</v>
      </c>
      <c r="I42" s="99">
        <f t="shared" si="16"/>
        <v>5180094</v>
      </c>
      <c r="J42" s="147">
        <f>I42/$I$42</f>
        <v>1</v>
      </c>
      <c r="K42" s="99">
        <f t="shared" si="16"/>
        <v>4262261</v>
      </c>
      <c r="L42" s="147">
        <f>K42/$K$42</f>
        <v>1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9"/>
  <sheetViews>
    <sheetView zoomScalePageLayoutView="0" workbookViewId="0" topLeftCell="A7">
      <selection activeCell="M27" sqref="M27"/>
    </sheetView>
  </sheetViews>
  <sheetFormatPr defaultColWidth="8.75390625" defaultRowHeight="12.75"/>
  <cols>
    <col min="1" max="1" width="3.125" style="27" customWidth="1"/>
    <col min="2" max="2" width="38.25390625" style="27" customWidth="1"/>
    <col min="3" max="3" width="12.00390625" style="27" bestFit="1" customWidth="1"/>
    <col min="4" max="4" width="4.375" style="103" bestFit="1" customWidth="1"/>
    <col min="5" max="5" width="12.00390625" style="27" bestFit="1" customWidth="1"/>
    <col min="6" max="6" width="4.375" style="103" bestFit="1" customWidth="1"/>
    <col min="7" max="7" width="12.00390625" style="27" bestFit="1" customWidth="1"/>
    <col min="8" max="8" width="4.375" style="103" bestFit="1" customWidth="1"/>
    <col min="9" max="9" width="12.00390625" style="27" bestFit="1" customWidth="1"/>
    <col min="10" max="10" width="4.375" style="103" bestFit="1" customWidth="1"/>
    <col min="11" max="11" width="12.00390625" style="27" bestFit="1" customWidth="1"/>
    <col min="12" max="12" width="4.375" style="103" bestFit="1" customWidth="1"/>
    <col min="13" max="16384" width="8.75390625" style="27" customWidth="1"/>
  </cols>
  <sheetData>
    <row r="1" ht="15.75">
      <c r="A1" s="151" t="s">
        <v>180</v>
      </c>
    </row>
    <row r="2" ht="12.75">
      <c r="A2" s="27" t="s">
        <v>181</v>
      </c>
    </row>
    <row r="3" ht="12.75">
      <c r="A3" s="27" t="s">
        <v>72</v>
      </c>
    </row>
    <row r="4" spans="1:12" ht="13.5" thickBot="1">
      <c r="A4" s="29"/>
      <c r="B4" s="29"/>
      <c r="C4" s="29"/>
      <c r="D4" s="104"/>
      <c r="E4" s="29"/>
      <c r="F4" s="104"/>
      <c r="G4" s="29"/>
      <c r="H4" s="104"/>
      <c r="I4" s="29"/>
      <c r="J4" s="104"/>
      <c r="K4" s="29"/>
      <c r="L4" s="104"/>
    </row>
    <row r="5" spans="3:11" ht="12.75">
      <c r="C5" s="142">
        <v>2006</v>
      </c>
      <c r="D5" s="163"/>
      <c r="E5" s="142">
        <v>2005</v>
      </c>
      <c r="F5" s="163"/>
      <c r="G5" s="142">
        <v>2004</v>
      </c>
      <c r="H5" s="163"/>
      <c r="I5" s="142">
        <v>2003</v>
      </c>
      <c r="J5" s="163"/>
      <c r="K5" s="142">
        <v>2002</v>
      </c>
    </row>
    <row r="6" spans="1:12" ht="12.75">
      <c r="A6" s="109" t="s">
        <v>139</v>
      </c>
      <c r="B6" s="109"/>
      <c r="C6" s="141"/>
      <c r="D6" s="164"/>
      <c r="E6" s="141"/>
      <c r="F6" s="164"/>
      <c r="G6" s="141"/>
      <c r="H6" s="164"/>
      <c r="I6" s="141"/>
      <c r="J6" s="164"/>
      <c r="K6" s="141"/>
      <c r="L6" s="145"/>
    </row>
    <row r="7" spans="1:12" ht="12.75">
      <c r="A7" s="28"/>
      <c r="B7" s="28" t="s">
        <v>182</v>
      </c>
      <c r="C7" s="107">
        <v>3169285</v>
      </c>
      <c r="D7" s="165">
        <f>C7/$C$7</f>
        <v>1</v>
      </c>
      <c r="E7" s="107">
        <v>2793677</v>
      </c>
      <c r="F7" s="165">
        <f>E7/$E$7</f>
        <v>1</v>
      </c>
      <c r="G7" s="107">
        <v>3035817</v>
      </c>
      <c r="H7" s="165">
        <f>G7/$G$7</f>
        <v>1</v>
      </c>
      <c r="I7" s="107">
        <v>2626455</v>
      </c>
      <c r="J7" s="165">
        <f>I7/$I$7</f>
        <v>1</v>
      </c>
      <c r="K7" s="107">
        <v>1713063</v>
      </c>
      <c r="L7" s="165">
        <f>K7/$K$7</f>
        <v>1</v>
      </c>
    </row>
    <row r="8" spans="1:12" ht="12.75">
      <c r="A8" s="28"/>
      <c r="B8" s="32" t="s">
        <v>183</v>
      </c>
      <c r="C8" s="107">
        <v>-308041</v>
      </c>
      <c r="D8" s="165">
        <f aca="true" t="shared" si="0" ref="D8:D24">C8/$C$7</f>
        <v>-0.09719573973309437</v>
      </c>
      <c r="E8" s="107">
        <v>-418143</v>
      </c>
      <c r="F8" s="165">
        <f aca="true" t="shared" si="1" ref="F8:F24">E8/$E$7</f>
        <v>-0.14967478344848026</v>
      </c>
      <c r="G8" s="107">
        <v>-460326</v>
      </c>
      <c r="H8" s="165">
        <f aca="true" t="shared" si="2" ref="H8:H24">G8/$G$7</f>
        <v>-0.151631669497865</v>
      </c>
      <c r="I8" s="107">
        <v>-394253</v>
      </c>
      <c r="J8" s="165">
        <f aca="true" t="shared" si="3" ref="J8:J24">I8/$I$7</f>
        <v>-0.15010841609698244</v>
      </c>
      <c r="K8" s="107">
        <v>-263423</v>
      </c>
      <c r="L8" s="165">
        <f aca="true" t="shared" si="4" ref="L8:L24">K8/$K$7</f>
        <v>-0.15377309532690858</v>
      </c>
    </row>
    <row r="9" spans="1:12" ht="12.75">
      <c r="A9" s="149"/>
      <c r="B9" s="27" t="s">
        <v>19</v>
      </c>
      <c r="C9" s="152">
        <f>SUM(C7:C8)</f>
        <v>2861244</v>
      </c>
      <c r="D9" s="166">
        <f t="shared" si="0"/>
        <v>0.9028042602669056</v>
      </c>
      <c r="E9" s="152">
        <f>SUM(E7:E8)</f>
        <v>2375534</v>
      </c>
      <c r="F9" s="166">
        <f t="shared" si="1"/>
        <v>0.8503252165515197</v>
      </c>
      <c r="G9" s="152">
        <f>SUM(G7:G8)</f>
        <v>2575491</v>
      </c>
      <c r="H9" s="166">
        <f t="shared" si="2"/>
        <v>0.848368330502135</v>
      </c>
      <c r="I9" s="152">
        <f>SUM(I7:I8)</f>
        <v>2232202</v>
      </c>
      <c r="J9" s="166">
        <f t="shared" si="3"/>
        <v>0.8498915839030176</v>
      </c>
      <c r="K9" s="152">
        <f>SUM(K7:K8)</f>
        <v>1449640</v>
      </c>
      <c r="L9" s="166">
        <f t="shared" si="4"/>
        <v>0.8462269046730914</v>
      </c>
    </row>
    <row r="10" spans="1:12" ht="12.75">
      <c r="A10" s="149"/>
      <c r="C10" s="153"/>
      <c r="D10" s="165"/>
      <c r="E10" s="153"/>
      <c r="F10" s="165"/>
      <c r="G10" s="153"/>
      <c r="H10" s="165"/>
      <c r="I10" s="153"/>
      <c r="J10" s="165"/>
      <c r="K10" s="153"/>
      <c r="L10" s="165"/>
    </row>
    <row r="11" spans="1:12" ht="12.75">
      <c r="A11" s="27" t="s">
        <v>184</v>
      </c>
      <c r="C11" s="95">
        <v>-1492353</v>
      </c>
      <c r="D11" s="167">
        <f t="shared" si="0"/>
        <v>-0.47088002498986364</v>
      </c>
      <c r="E11" s="95">
        <v>-1258740</v>
      </c>
      <c r="F11" s="167">
        <f t="shared" si="1"/>
        <v>-0.4505674779153066</v>
      </c>
      <c r="G11" s="95">
        <v>-1314924</v>
      </c>
      <c r="H11" s="167">
        <f t="shared" si="2"/>
        <v>-0.4331367799837737</v>
      </c>
      <c r="I11" s="95">
        <v>-1227829</v>
      </c>
      <c r="J11" s="167">
        <f t="shared" si="3"/>
        <v>-0.4674852605508185</v>
      </c>
      <c r="K11" s="95">
        <v>-977131</v>
      </c>
      <c r="L11" s="167">
        <f t="shared" si="4"/>
        <v>-0.5703999210770415</v>
      </c>
    </row>
    <row r="12" spans="1:12" ht="12.75">
      <c r="A12" s="143" t="s">
        <v>185</v>
      </c>
      <c r="B12" s="109"/>
      <c r="C12" s="153">
        <f>C9+C11</f>
        <v>1368891</v>
      </c>
      <c r="D12" s="165">
        <f t="shared" si="0"/>
        <v>0.431924235277042</v>
      </c>
      <c r="E12" s="153">
        <f>E9+E11</f>
        <v>1116794</v>
      </c>
      <c r="F12" s="165">
        <f t="shared" si="1"/>
        <v>0.3997577386362131</v>
      </c>
      <c r="G12" s="153">
        <f>G9+G11</f>
        <v>1260567</v>
      </c>
      <c r="H12" s="165">
        <f t="shared" si="2"/>
        <v>0.4152315505183613</v>
      </c>
      <c r="I12" s="153">
        <f>I9+I11</f>
        <v>1004373</v>
      </c>
      <c r="J12" s="165">
        <f t="shared" si="3"/>
        <v>0.38240632335219904</v>
      </c>
      <c r="K12" s="153">
        <f>K9+K11</f>
        <v>472509</v>
      </c>
      <c r="L12" s="165">
        <f t="shared" si="4"/>
        <v>0.2758269835960499</v>
      </c>
    </row>
    <row r="13" spans="1:12" ht="12.75">
      <c r="A13" s="144"/>
      <c r="B13" s="28"/>
      <c r="C13" s="153"/>
      <c r="D13" s="165"/>
      <c r="E13" s="153"/>
      <c r="F13" s="165"/>
      <c r="G13" s="153"/>
      <c r="H13" s="165"/>
      <c r="I13" s="153"/>
      <c r="J13" s="165"/>
      <c r="K13" s="153"/>
      <c r="L13" s="165"/>
    </row>
    <row r="14" spans="1:12" ht="12.75">
      <c r="A14" s="27" t="s">
        <v>186</v>
      </c>
      <c r="C14" s="63">
        <v>-975006</v>
      </c>
      <c r="D14" s="165">
        <f t="shared" si="0"/>
        <v>-0.30764226000501693</v>
      </c>
      <c r="E14" s="63">
        <v>-1002743</v>
      </c>
      <c r="F14" s="165">
        <f t="shared" si="1"/>
        <v>-0.3589330477360124</v>
      </c>
      <c r="G14" s="63">
        <v>-887656</v>
      </c>
      <c r="H14" s="165">
        <f t="shared" si="2"/>
        <v>-0.29239443616001887</v>
      </c>
      <c r="I14" s="63">
        <v>-820867</v>
      </c>
      <c r="J14" s="165">
        <f t="shared" si="3"/>
        <v>-0.3125380027451451</v>
      </c>
      <c r="K14" s="63">
        <v>-838623</v>
      </c>
      <c r="L14" s="165">
        <f t="shared" si="4"/>
        <v>-0.4895459186264603</v>
      </c>
    </row>
    <row r="15" spans="1:12" ht="12.75">
      <c r="A15" s="27" t="s">
        <v>187</v>
      </c>
      <c r="C15" s="63">
        <v>21773</v>
      </c>
      <c r="D15" s="165">
        <f t="shared" si="0"/>
        <v>0.006870003802119405</v>
      </c>
      <c r="E15" s="63">
        <v>9299</v>
      </c>
      <c r="F15" s="165">
        <f t="shared" si="1"/>
        <v>0.003328588093756007</v>
      </c>
      <c r="G15" s="63">
        <v>26039</v>
      </c>
      <c r="H15" s="165">
        <f t="shared" si="2"/>
        <v>0.00857726272696938</v>
      </c>
      <c r="I15" s="63">
        <v>39501</v>
      </c>
      <c r="J15" s="165">
        <f t="shared" si="3"/>
        <v>0.015039663729247216</v>
      </c>
      <c r="K15" s="63">
        <v>33280</v>
      </c>
      <c r="L15" s="165">
        <f t="shared" si="4"/>
        <v>0.01942718977644138</v>
      </c>
    </row>
    <row r="16" spans="1:12" ht="12.75">
      <c r="A16" s="109" t="s">
        <v>188</v>
      </c>
      <c r="B16" s="109"/>
      <c r="C16" s="152">
        <f>C12+SUM(C14:C15)</f>
        <v>415658</v>
      </c>
      <c r="D16" s="166">
        <f t="shared" si="0"/>
        <v>0.13115197907414447</v>
      </c>
      <c r="E16" s="152">
        <f>E12+SUM(E14:E15)</f>
        <v>123350</v>
      </c>
      <c r="F16" s="166">
        <f t="shared" si="1"/>
        <v>0.04415327899395671</v>
      </c>
      <c r="G16" s="152">
        <f>G12+SUM(G14:G15)</f>
        <v>398950</v>
      </c>
      <c r="H16" s="166">
        <f t="shared" si="2"/>
        <v>0.13141437708531178</v>
      </c>
      <c r="I16" s="152">
        <f>I12+SUM(I14:I15)</f>
        <v>223007</v>
      </c>
      <c r="J16" s="166">
        <f t="shared" si="3"/>
        <v>0.08490798433630121</v>
      </c>
      <c r="K16" s="152">
        <f>K12+SUM(K14:K15)</f>
        <v>-332834</v>
      </c>
      <c r="L16" s="166">
        <f t="shared" si="4"/>
        <v>-0.19429174525396906</v>
      </c>
    </row>
    <row r="17" spans="1:12" ht="12.75">
      <c r="A17" s="28"/>
      <c r="B17" s="28"/>
      <c r="C17" s="153"/>
      <c r="D17" s="165"/>
      <c r="E17" s="153"/>
      <c r="F17" s="165"/>
      <c r="G17" s="153"/>
      <c r="H17" s="165"/>
      <c r="I17" s="153"/>
      <c r="J17" s="165"/>
      <c r="K17" s="153"/>
      <c r="L17" s="165"/>
    </row>
    <row r="18" spans="1:12" ht="12.75">
      <c r="A18" s="27" t="s">
        <v>189</v>
      </c>
      <c r="C18" s="63">
        <v>-110206</v>
      </c>
      <c r="D18" s="165">
        <f t="shared" si="0"/>
        <v>-0.03477314283821114</v>
      </c>
      <c r="E18" s="107">
        <v>-113782</v>
      </c>
      <c r="F18" s="165">
        <f t="shared" si="1"/>
        <v>-0.04072840203072868</v>
      </c>
      <c r="G18" s="107">
        <v>-103213</v>
      </c>
      <c r="H18" s="165">
        <f t="shared" si="2"/>
        <v>-0.0339984261238408</v>
      </c>
      <c r="I18" s="107">
        <v>-279204</v>
      </c>
      <c r="J18" s="165">
        <f t="shared" si="3"/>
        <v>-0.10630450550266424</v>
      </c>
      <c r="K18" s="107">
        <v>-373699</v>
      </c>
      <c r="L18" s="165">
        <f t="shared" si="4"/>
        <v>-0.21814667645031152</v>
      </c>
    </row>
    <row r="19" spans="1:12" ht="12.75">
      <c r="A19" s="27" t="s">
        <v>190</v>
      </c>
      <c r="C19" s="63">
        <v>-340736</v>
      </c>
      <c r="D19" s="165">
        <f t="shared" si="0"/>
        <v>-0.10751194670091203</v>
      </c>
      <c r="E19" s="107">
        <v>-374003</v>
      </c>
      <c r="F19" s="165">
        <f t="shared" si="1"/>
        <v>-0.13387481802656498</v>
      </c>
      <c r="G19" s="107">
        <v>-391869</v>
      </c>
      <c r="H19" s="165">
        <f t="shared" si="2"/>
        <v>-0.12908189129977202</v>
      </c>
      <c r="I19" s="107">
        <v>-374235</v>
      </c>
      <c r="J19" s="165">
        <f t="shared" si="3"/>
        <v>-0.14248673592351668</v>
      </c>
      <c r="K19" s="107">
        <v>-363214</v>
      </c>
      <c r="L19" s="165">
        <f t="shared" si="4"/>
        <v>-0.21202606092128545</v>
      </c>
    </row>
    <row r="20" spans="1:12" ht="12.75">
      <c r="A20" s="27" t="s">
        <v>67</v>
      </c>
      <c r="C20" s="63">
        <v>0</v>
      </c>
      <c r="D20" s="165">
        <f t="shared" si="0"/>
        <v>0</v>
      </c>
      <c r="E20" s="107">
        <v>0</v>
      </c>
      <c r="F20" s="165">
        <f t="shared" si="1"/>
        <v>0</v>
      </c>
      <c r="G20" s="107">
        <v>0</v>
      </c>
      <c r="H20" s="165">
        <f t="shared" si="2"/>
        <v>0</v>
      </c>
      <c r="I20" s="107">
        <v>-31708</v>
      </c>
      <c r="J20" s="165">
        <f t="shared" si="3"/>
        <v>-0.012072546455202926</v>
      </c>
      <c r="K20" s="107">
        <v>0</v>
      </c>
      <c r="L20" s="165">
        <f t="shared" si="4"/>
        <v>0</v>
      </c>
    </row>
    <row r="21" spans="1:12" ht="12.75">
      <c r="A21" s="27" t="s">
        <v>140</v>
      </c>
      <c r="C21" s="63">
        <v>-57323</v>
      </c>
      <c r="D21" s="165">
        <f t="shared" si="0"/>
        <v>-0.018087044869741914</v>
      </c>
      <c r="E21" s="107">
        <v>-57323</v>
      </c>
      <c r="F21" s="165">
        <f t="shared" si="1"/>
        <v>-0.020518835928419785</v>
      </c>
      <c r="G21" s="107">
        <v>-57323</v>
      </c>
      <c r="H21" s="165">
        <f t="shared" si="2"/>
        <v>-0.018882231702372045</v>
      </c>
      <c r="I21" s="107">
        <v>-36022</v>
      </c>
      <c r="J21" s="165">
        <f t="shared" si="3"/>
        <v>-0.013715064602287113</v>
      </c>
      <c r="K21" s="107">
        <v>0</v>
      </c>
      <c r="L21" s="165">
        <f t="shared" si="4"/>
        <v>0</v>
      </c>
    </row>
    <row r="22" spans="1:12" ht="12.75">
      <c r="A22" s="27" t="s">
        <v>73</v>
      </c>
      <c r="C22" s="63">
        <v>0</v>
      </c>
      <c r="D22" s="167">
        <f t="shared" si="0"/>
        <v>0</v>
      </c>
      <c r="E22" s="95">
        <v>0</v>
      </c>
      <c r="F22" s="167">
        <f t="shared" si="1"/>
        <v>0</v>
      </c>
      <c r="G22" s="95">
        <v>-531656</v>
      </c>
      <c r="H22" s="167">
        <f t="shared" si="2"/>
        <v>-0.17512781567531904</v>
      </c>
      <c r="I22" s="95">
        <v>0</v>
      </c>
      <c r="J22" s="167">
        <f t="shared" si="3"/>
        <v>0</v>
      </c>
      <c r="K22" s="95">
        <v>0</v>
      </c>
      <c r="L22" s="167">
        <f t="shared" si="4"/>
        <v>0</v>
      </c>
    </row>
    <row r="23" spans="1:12" ht="12.75">
      <c r="A23" s="65"/>
      <c r="B23" s="65"/>
      <c r="C23" s="136">
        <f>SUM(C18:C22)</f>
        <v>-508265</v>
      </c>
      <c r="D23" s="165">
        <f t="shared" si="0"/>
        <v>-0.16037213440886508</v>
      </c>
      <c r="E23" s="136">
        <f>SUM(E18:E22)</f>
        <v>-545108</v>
      </c>
      <c r="F23" s="165">
        <f t="shared" si="1"/>
        <v>-0.19512205598571344</v>
      </c>
      <c r="G23" s="136">
        <f>SUM(G18:G22)</f>
        <v>-1084061</v>
      </c>
      <c r="H23" s="165">
        <f t="shared" si="2"/>
        <v>-0.3570903648013039</v>
      </c>
      <c r="I23" s="136">
        <f>SUM(I18:I22)</f>
        <v>-721169</v>
      </c>
      <c r="J23" s="165">
        <f t="shared" si="3"/>
        <v>-0.274578852483671</v>
      </c>
      <c r="K23" s="136">
        <f>SUM(K18:K22)</f>
        <v>-736913</v>
      </c>
      <c r="L23" s="165">
        <f t="shared" si="4"/>
        <v>-0.43017273737159695</v>
      </c>
    </row>
    <row r="24" spans="1:12" ht="12.75">
      <c r="A24" s="144" t="s">
        <v>68</v>
      </c>
      <c r="B24" s="28"/>
      <c r="C24" s="161">
        <f>C23+C16</f>
        <v>-92607</v>
      </c>
      <c r="D24" s="166">
        <f t="shared" si="0"/>
        <v>-0.029220155334720607</v>
      </c>
      <c r="E24" s="161">
        <f>E23+E16</f>
        <v>-421758</v>
      </c>
      <c r="F24" s="166">
        <f t="shared" si="1"/>
        <v>-0.15096877699175673</v>
      </c>
      <c r="G24" s="161">
        <f>G23+G16</f>
        <v>-685111</v>
      </c>
      <c r="H24" s="166">
        <f t="shared" si="2"/>
        <v>-0.2256759877159921</v>
      </c>
      <c r="I24" s="161">
        <f>I23+I16</f>
        <v>-498162</v>
      </c>
      <c r="J24" s="166">
        <f t="shared" si="3"/>
        <v>-0.18967086814736975</v>
      </c>
      <c r="K24" s="161">
        <f>K23+K16</f>
        <v>-1069747</v>
      </c>
      <c r="L24" s="166">
        <f t="shared" si="4"/>
        <v>-0.624464482625566</v>
      </c>
    </row>
    <row r="25" spans="1:12" ht="12.75">
      <c r="A25" s="144"/>
      <c r="B25" s="28"/>
      <c r="C25" s="153"/>
      <c r="D25" s="168"/>
      <c r="E25" s="153"/>
      <c r="F25" s="168"/>
      <c r="G25" s="153"/>
      <c r="H25" s="168"/>
      <c r="I25" s="153"/>
      <c r="J25" s="172"/>
      <c r="K25" s="153"/>
      <c r="L25" s="146"/>
    </row>
    <row r="26" spans="1:11" ht="12.75">
      <c r="A26" s="27" t="s">
        <v>69</v>
      </c>
      <c r="C26" s="63">
        <f>E27</f>
        <v>-5547311</v>
      </c>
      <c r="D26" s="106"/>
      <c r="E26" s="63">
        <f>G27</f>
        <v>-5125553</v>
      </c>
      <c r="F26" s="106"/>
      <c r="G26" s="63">
        <f>I27</f>
        <v>-4440442</v>
      </c>
      <c r="H26" s="106"/>
      <c r="I26" s="63">
        <f>K27</f>
        <v>-3942280</v>
      </c>
      <c r="J26" s="173"/>
      <c r="K26" s="63">
        <v>-2872533</v>
      </c>
    </row>
    <row r="27" spans="1:12" ht="13.5" thickBot="1">
      <c r="A27" s="140" t="s">
        <v>70</v>
      </c>
      <c r="B27" s="29"/>
      <c r="C27" s="155">
        <f>C24+C26</f>
        <v>-5639918</v>
      </c>
      <c r="D27" s="169"/>
      <c r="E27" s="155">
        <f aca="true" t="shared" si="5" ref="E27:K27">E24+E26</f>
        <v>-5547311</v>
      </c>
      <c r="F27" s="169"/>
      <c r="G27" s="155">
        <f t="shared" si="5"/>
        <v>-5125553</v>
      </c>
      <c r="H27" s="169"/>
      <c r="I27" s="155">
        <f t="shared" si="5"/>
        <v>-4440442</v>
      </c>
      <c r="J27" s="169"/>
      <c r="K27" s="155">
        <f t="shared" si="5"/>
        <v>-3942280</v>
      </c>
      <c r="L27" s="174"/>
    </row>
    <row r="28" spans="1:12" ht="13.5" thickBot="1">
      <c r="A28" s="154" t="s">
        <v>71</v>
      </c>
      <c r="B28" s="154"/>
      <c r="C28" s="162">
        <v>-0.014</v>
      </c>
      <c r="D28" s="170"/>
      <c r="E28" s="162">
        <v>-0.08</v>
      </c>
      <c r="F28" s="170"/>
      <c r="G28" s="162">
        <v>-0.14</v>
      </c>
      <c r="H28" s="170"/>
      <c r="I28" s="162">
        <v>-0.14</v>
      </c>
      <c r="J28" s="170"/>
      <c r="K28" s="162">
        <v>-0.78</v>
      </c>
      <c r="L28" s="175"/>
    </row>
    <row r="29" spans="5:8" ht="12.75">
      <c r="E29" s="150"/>
      <c r="F29" s="171"/>
      <c r="G29" s="150"/>
      <c r="H29" s="171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67"/>
  <sheetViews>
    <sheetView tabSelected="1" zoomScalePageLayoutView="0" workbookViewId="0" topLeftCell="A20">
      <selection activeCell="L43" sqref="L43"/>
    </sheetView>
  </sheetViews>
  <sheetFormatPr defaultColWidth="8.75390625" defaultRowHeight="12.75"/>
  <cols>
    <col min="1" max="1" width="35.375" style="0" bestFit="1" customWidth="1"/>
    <col min="2" max="2" width="10.375" style="1" customWidth="1"/>
    <col min="3" max="3" width="6.50390625" style="1" bestFit="1" customWidth="1"/>
    <col min="4" max="11" width="9.00390625" style="1" customWidth="1"/>
    <col min="12" max="12" width="26.75390625" style="0" bestFit="1" customWidth="1"/>
  </cols>
  <sheetData>
    <row r="1" spans="1:15" ht="21" customHeight="1">
      <c r="A1" s="181"/>
      <c r="B1" s="182" t="s">
        <v>5</v>
      </c>
      <c r="C1" s="183"/>
      <c r="D1" s="182"/>
      <c r="E1" s="182"/>
      <c r="F1" s="182"/>
      <c r="G1" s="182" t="s">
        <v>94</v>
      </c>
      <c r="H1" s="182"/>
      <c r="I1" s="182"/>
      <c r="J1" s="182"/>
      <c r="K1" s="182"/>
      <c r="L1" s="181"/>
      <c r="M1" s="181"/>
      <c r="N1" s="181"/>
      <c r="O1" s="181"/>
    </row>
    <row r="2" spans="1:15" ht="12.75">
      <c r="A2" s="11"/>
      <c r="B2" s="4">
        <v>2006</v>
      </c>
      <c r="C2" s="4">
        <v>2005</v>
      </c>
      <c r="D2" s="4">
        <v>2004</v>
      </c>
      <c r="E2" s="4">
        <v>2003</v>
      </c>
      <c r="F2" s="4">
        <v>2002</v>
      </c>
      <c r="G2" s="9">
        <v>2006</v>
      </c>
      <c r="H2" s="9">
        <v>2005</v>
      </c>
      <c r="I2" s="9">
        <v>2004</v>
      </c>
      <c r="J2" s="9">
        <v>2003</v>
      </c>
      <c r="K2" s="9">
        <v>2002</v>
      </c>
      <c r="L2" s="181"/>
      <c r="M2" s="181"/>
      <c r="N2" s="181"/>
      <c r="O2" s="181"/>
    </row>
    <row r="3" spans="1:15" ht="12.75">
      <c r="A3" s="12" t="s">
        <v>62</v>
      </c>
      <c r="B3" s="5"/>
      <c r="C3" s="5"/>
      <c r="D3" s="5"/>
      <c r="E3" s="5"/>
      <c r="F3" s="5"/>
      <c r="G3" s="2"/>
      <c r="H3" s="2"/>
      <c r="I3" s="2"/>
      <c r="J3" s="2"/>
      <c r="K3" s="2"/>
      <c r="L3" s="181"/>
      <c r="M3" s="181" t="s">
        <v>198</v>
      </c>
      <c r="N3" s="181"/>
      <c r="O3" s="181"/>
    </row>
    <row r="4" spans="1:15" ht="12.75">
      <c r="A4" s="11" t="s">
        <v>36</v>
      </c>
      <c r="B4" s="6">
        <f>('BB Income Stmt'!C29+'BB Income Stmt'!C19*(1-0.361))/(('BB Balance sheet'!C22+'BB Balance sheet'!E22)/2)</f>
        <v>-0.0052223704899733376</v>
      </c>
      <c r="C4" s="6">
        <f>('BB Income Stmt'!E29+'BB Income Stmt'!E19*(1-0.361))/(('BB Balance sheet'!E22+'BB Balance sheet'!G22)/2)</f>
        <v>0.24158970899769303</v>
      </c>
      <c r="D4" s="6">
        <f>('BB Income Stmt'!G29+'BB Income Stmt'!G19*(1-0.631))/(('BB Balance sheet'!G22+'BB Balance sheet'!I22)/2)</f>
        <v>0.12116807566131722</v>
      </c>
      <c r="E4" s="6">
        <f>('BB Income Stmt'!I29+'BB Income Stmt'!I19*(1-0.361))/(('BB Balance sheet'!I22+'BB Balance sheet'!K22)/2)</f>
        <v>-0.0029349367407044695</v>
      </c>
      <c r="F4" s="6">
        <f>('BB Income Stmt'!K29+'BB Income Stmt'!K19*(1-0.361))/(('BB Balance sheet'!K22+'BB Balance sheet'!M22)/2)</f>
        <v>-0.16092200345741456</v>
      </c>
      <c r="G4" s="3">
        <f>('FG Income stmt'!C24+'FG Income stmt'!C18*(1))/(('FG Balance Sheet'!C19+'FG Balance Sheet'!E19)/2)</f>
        <v>-0.0526953585068319</v>
      </c>
      <c r="H4" s="3">
        <f>('FG Income stmt'!E24+'FG Income stmt'!E18*(1))/(('FG Balance Sheet'!E19+'FG Balance Sheet'!G19)/2)</f>
        <v>-0.12999936765068393</v>
      </c>
      <c r="I4" s="3">
        <f>('FG Income stmt'!G24+'FG Income stmt'!G18*(1))/(('FG Balance Sheet'!G19+'FG Balance Sheet'!I19)/2)</f>
        <v>-0.16697541598551893</v>
      </c>
      <c r="J4" s="3">
        <f>('FG Income stmt'!I24+'FG Income stmt'!I18*(1))/(('FG Balance Sheet'!I19+'FG Balance Sheet'!K19)/2)</f>
        <v>-0.16465510987460225</v>
      </c>
      <c r="K4" s="3">
        <f>('FG Income stmt'!K24+'FG Income stmt'!K18*(1))/('FG Balance Sheet'!K19)</f>
        <v>-0.33865734641778156</v>
      </c>
      <c r="L4" s="181" t="s">
        <v>199</v>
      </c>
      <c r="M4" s="181">
        <v>9.04</v>
      </c>
      <c r="N4" s="181"/>
      <c r="O4" s="181"/>
    </row>
    <row r="5" spans="1:15" ht="12.75">
      <c r="A5" s="11" t="s">
        <v>37</v>
      </c>
      <c r="B5" s="6">
        <f>'BB Income Stmt'!C29/(('BB Balance sheet'!C45+'BB Balance sheet'!E45)/2)</f>
        <v>0.004899764376715129</v>
      </c>
      <c r="C5" s="6">
        <f>'BB Income Stmt'!E29/(('BB Balance sheet'!E45+'BB Balance sheet'!G45)/2)</f>
        <v>0.22830431600586729</v>
      </c>
      <c r="D5" s="6">
        <f>'BB Income Stmt'!G29/(('BB Balance sheet'!G45+'BB Balance sheet'!I45)/2)</f>
        <v>0.14039639985928395</v>
      </c>
      <c r="E5" s="6">
        <f>'BB Income Stmt'!I29/(('BB Balance sheet'!I45+'BB Balance sheet'!K45)/2)</f>
        <v>0.010717924527095869</v>
      </c>
      <c r="F5" s="6">
        <f>'BB Income Stmt'!K29/(('BB Balance sheet'!K45+'BB Balance sheet'!M45)/2)</f>
        <v>-0.23809549169128857</v>
      </c>
      <c r="G5" s="3">
        <f>'FG Income stmt'!C24/(('FG Balance Sheet'!C40+'FG Balance Sheet'!E40)/2)</f>
        <v>-0.06818962498909306</v>
      </c>
      <c r="H5" s="3">
        <f>'FG Income stmt'!E24/(('FG Balance Sheet'!E40+'FG Balance Sheet'!G40)/2)</f>
        <v>-0.2611079434123112</v>
      </c>
      <c r="I5" s="3">
        <f>'FG Income stmt'!G24/(('FG Balance Sheet'!G40+'FG Balance Sheet'!I40)/2)</f>
        <v>-0.3159089730126032</v>
      </c>
      <c r="J5" s="3">
        <f>'FG Income stmt'!I24/(('FG Balance Sheet'!I40+'FG Balance Sheet'!K40)/2)</f>
        <v>-0.31153271780812325</v>
      </c>
      <c r="K5" s="3">
        <f>'FG Income stmt'!K24/('FG Balance Sheet'!K40)</f>
        <v>-1.5573933260831903</v>
      </c>
      <c r="L5" s="181" t="s">
        <v>200</v>
      </c>
      <c r="M5" s="181">
        <v>44.38</v>
      </c>
      <c r="N5" s="181"/>
      <c r="O5" s="181"/>
    </row>
    <row r="6" spans="1:15" ht="12.75">
      <c r="A6" s="11" t="s">
        <v>38</v>
      </c>
      <c r="B6" s="6"/>
      <c r="C6" s="6"/>
      <c r="D6" s="6"/>
      <c r="E6" s="6"/>
      <c r="F6" s="6"/>
      <c r="G6" s="3"/>
      <c r="H6" s="3"/>
      <c r="I6" s="3"/>
      <c r="J6" s="3"/>
      <c r="K6" s="3"/>
      <c r="L6" s="181"/>
      <c r="M6" s="181"/>
      <c r="N6" s="181"/>
      <c r="O6" s="181" t="s">
        <v>193</v>
      </c>
    </row>
    <row r="7" spans="1:16" ht="12.75">
      <c r="A7" s="11" t="s">
        <v>39</v>
      </c>
      <c r="B7" s="6">
        <f>2.13/B9</f>
        <v>212.99999999999997</v>
      </c>
      <c r="C7" s="6">
        <f>2.2/C9</f>
        <v>9.166666666666668</v>
      </c>
      <c r="D7" s="6">
        <f>2.29/D9</f>
        <v>19.083333333333336</v>
      </c>
      <c r="E7" s="6">
        <f>0.75/E9</f>
        <v>75</v>
      </c>
      <c r="F7" s="6">
        <f>0.7/F9</f>
        <v>-3.888888888888889</v>
      </c>
      <c r="G7" s="176">
        <f>0.245/G9</f>
        <v>-17.5</v>
      </c>
      <c r="H7" s="176">
        <f>0.31/H9</f>
        <v>-3.875</v>
      </c>
      <c r="I7" s="176">
        <f>0.255/I9</f>
        <v>-1.8214285714285714</v>
      </c>
      <c r="J7" s="176">
        <f>0.3/J9</f>
        <v>-2.142857142857143</v>
      </c>
      <c r="K7" s="176">
        <f>0.1/K9</f>
        <v>-0.12820512820512822</v>
      </c>
      <c r="L7" s="181" t="s">
        <v>201</v>
      </c>
      <c r="M7" s="181">
        <v>19.18</v>
      </c>
      <c r="N7" s="181"/>
      <c r="O7" s="181" t="s">
        <v>202</v>
      </c>
      <c r="P7">
        <v>25.85</v>
      </c>
    </row>
    <row r="8" spans="1:16" ht="12.75">
      <c r="A8" s="11" t="s">
        <v>40</v>
      </c>
      <c r="B8" s="6">
        <f>2.13/(('BB Cash Flow'!D19-3969692)/21824075)</f>
        <v>-8.04822286578377</v>
      </c>
      <c r="C8" s="6">
        <f>2.2/(('BB Cash Flow'!E19-6908215)/19861072)</f>
        <v>-12.838435894437392</v>
      </c>
      <c r="D8" s="6">
        <f>2.29/(('BB Cash Flow'!F19-789819)/19261412)</f>
        <v>-18.71998745454607</v>
      </c>
      <c r="E8" s="6">
        <f>0.75/(('BB Cash Flow'!G19-896996)/12445130)</f>
        <v>12.090523020167177</v>
      </c>
      <c r="F8" s="6">
        <f>0.7/(('BB Cash Flow'!H19-1043398)/12445130)</f>
        <v>-53.670893016665126</v>
      </c>
      <c r="G8" s="176">
        <f>0.245/('FG Cash flow'!D24/4976698)</f>
        <v>4.050989115772826</v>
      </c>
      <c r="H8" s="176">
        <f>0.31/('FG Cash flow'!E24/4976698)</f>
        <v>-7.310696962517177</v>
      </c>
      <c r="I8" s="176">
        <f>0.255/('FG Cash flow'!F24/4976698)</f>
        <v>6.743278231205764</v>
      </c>
      <c r="J8" s="176">
        <f>0.3/('FG Cash flow'!G24/5900686)</f>
        <v>-28.46447660395562</v>
      </c>
      <c r="K8" s="176">
        <f>0.1/('FG Cash flow'!H24/5900686)</f>
        <v>-0.7964826555693987</v>
      </c>
      <c r="L8" s="181" t="s">
        <v>203</v>
      </c>
      <c r="M8" s="181">
        <v>35.08</v>
      </c>
      <c r="N8" s="181"/>
      <c r="O8" s="181" t="s">
        <v>204</v>
      </c>
      <c r="P8">
        <v>14.44</v>
      </c>
    </row>
    <row r="9" spans="1:15" ht="12.75">
      <c r="A9" s="11" t="s">
        <v>41</v>
      </c>
      <c r="B9" s="6">
        <v>0.01</v>
      </c>
      <c r="C9" s="6">
        <v>0.24</v>
      </c>
      <c r="D9" s="6">
        <v>0.12</v>
      </c>
      <c r="E9" s="6">
        <v>0.01</v>
      </c>
      <c r="F9" s="6">
        <v>-0.18</v>
      </c>
      <c r="G9" s="3">
        <v>-0.014</v>
      </c>
      <c r="H9" s="3">
        <v>-0.08</v>
      </c>
      <c r="I9" s="3">
        <v>-0.14</v>
      </c>
      <c r="J9" s="3">
        <v>-0.14</v>
      </c>
      <c r="K9" s="3">
        <v>-0.78</v>
      </c>
      <c r="L9" s="181" t="s">
        <v>205</v>
      </c>
      <c r="M9" s="181">
        <v>9.2</v>
      </c>
      <c r="N9" s="181"/>
      <c r="O9" s="181"/>
    </row>
    <row r="10" spans="1:15" ht="12.75">
      <c r="A10" s="11" t="s">
        <v>48</v>
      </c>
      <c r="B10" s="6">
        <f>B5-B4</f>
        <v>0.010122134866688465</v>
      </c>
      <c r="C10" s="6">
        <f>C5-C4</f>
        <v>-0.01328539299182574</v>
      </c>
      <c r="D10" s="6">
        <f aca="true" t="shared" si="0" ref="D10:K10">D5-D4</f>
        <v>0.01922832419796673</v>
      </c>
      <c r="E10" s="6">
        <f t="shared" si="0"/>
        <v>0.013652861267800338</v>
      </c>
      <c r="F10" s="6">
        <f t="shared" si="0"/>
        <v>-0.07717348823387402</v>
      </c>
      <c r="G10" s="3">
        <f t="shared" si="0"/>
        <v>-0.015494266482261161</v>
      </c>
      <c r="H10" s="3">
        <f t="shared" si="0"/>
        <v>-0.13110857576162727</v>
      </c>
      <c r="I10" s="3">
        <f t="shared" si="0"/>
        <v>-0.14893355702708425</v>
      </c>
      <c r="J10" s="3">
        <f t="shared" si="0"/>
        <v>-0.146877607933521</v>
      </c>
      <c r="K10" s="3">
        <f t="shared" si="0"/>
        <v>-1.2187359796654087</v>
      </c>
      <c r="L10" s="181"/>
      <c r="M10" s="181"/>
      <c r="N10" s="181"/>
      <c r="O10" s="181"/>
    </row>
    <row r="11" spans="1:15" ht="12.75">
      <c r="A11" s="11" t="s">
        <v>42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181" t="s">
        <v>206</v>
      </c>
      <c r="M11" s="181">
        <v>1.66</v>
      </c>
      <c r="N11" s="181"/>
      <c r="O11" s="181"/>
    </row>
    <row r="12" spans="1:15" ht="12.75">
      <c r="A12" s="11" t="s">
        <v>43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181" t="s">
        <v>207</v>
      </c>
      <c r="M12" s="181">
        <v>34.48</v>
      </c>
      <c r="N12" s="181"/>
      <c r="O12" s="181"/>
    </row>
    <row r="13" spans="1:15" ht="12.75">
      <c r="A13" s="11"/>
      <c r="B13" s="6"/>
      <c r="C13" s="6"/>
      <c r="D13" s="6"/>
      <c r="E13" s="6"/>
      <c r="F13" s="6"/>
      <c r="G13" s="3"/>
      <c r="H13" s="3"/>
      <c r="I13" s="3"/>
      <c r="J13" s="3"/>
      <c r="K13" s="3"/>
      <c r="L13" s="181"/>
      <c r="M13" s="181"/>
      <c r="N13" s="181"/>
      <c r="O13" s="181"/>
    </row>
    <row r="14" spans="1:15" ht="12.75">
      <c r="A14" s="12" t="s">
        <v>63</v>
      </c>
      <c r="B14" s="6"/>
      <c r="C14" s="6"/>
      <c r="D14" s="6"/>
      <c r="E14" s="6"/>
      <c r="F14" s="6"/>
      <c r="G14" s="3"/>
      <c r="H14" s="3"/>
      <c r="I14" s="3"/>
      <c r="J14" s="3"/>
      <c r="K14" s="3"/>
      <c r="L14" s="181"/>
      <c r="M14" s="181"/>
      <c r="N14" s="181"/>
      <c r="O14" s="181"/>
    </row>
    <row r="15" spans="1:15" ht="12.75">
      <c r="A15" s="11" t="s">
        <v>44</v>
      </c>
      <c r="B15" s="6">
        <f>-'BB Income Stmt'!C11/(('BB Balance sheet'!C10+'BB Balance sheet'!E10)/2)</f>
        <v>3.6109444105081114</v>
      </c>
      <c r="C15" s="6">
        <f>-'BB Income Stmt'!E11/(('BB Balance sheet'!E10+'BB Balance sheet'!G10)/2)</f>
        <v>4.1686489869545795</v>
      </c>
      <c r="D15" s="6">
        <f>-'BB Income Stmt'!G11/(('BB Balance sheet'!G10+'BB Balance sheet'!I10)/2)</f>
        <v>4.597122112097008</v>
      </c>
      <c r="E15" s="6">
        <f>-'BB Income Stmt'!I11/(('BB Balance sheet'!I10+'BB Balance sheet'!K10)/2)</f>
        <v>4.712269010519694</v>
      </c>
      <c r="F15" s="6">
        <f>-'BB Income Stmt'!K11/(('BB Balance sheet'!K10+'BB Balance sheet'!M10)/2)</f>
        <v>6.738157119542148</v>
      </c>
      <c r="G15" s="3">
        <f>-'FG Income stmt'!C11/(('FG Balance Sheet'!C10+'FG Balance Sheet'!E10)/2)</f>
        <v>6.411649083913876</v>
      </c>
      <c r="H15" s="3">
        <f>-'FG Income stmt'!E11/(('FG Balance Sheet'!E10+'FG Balance Sheet'!G10)/2)</f>
        <v>5.378081606494339</v>
      </c>
      <c r="I15" s="3">
        <f>-'FG Income stmt'!G11/(('FG Balance Sheet'!G10+'FG Balance Sheet'!I10)/2)</f>
        <v>5.896625948447506</v>
      </c>
      <c r="J15" s="3">
        <f>-'FG Income stmt'!I11/(('FG Balance Sheet'!I10+'FG Balance Sheet'!K10)/2)</f>
        <v>7.281179857736293</v>
      </c>
      <c r="K15" s="3">
        <f>-'FG Income stmt'!K11/('FG Balance Sheet'!K10)</f>
        <v>9.225701984629039</v>
      </c>
      <c r="L15" s="181" t="s">
        <v>208</v>
      </c>
      <c r="M15" s="181">
        <v>10.99</v>
      </c>
      <c r="N15" s="181"/>
      <c r="O15" s="181"/>
    </row>
    <row r="16" spans="1:15" ht="12.75">
      <c r="A16" s="11" t="s">
        <v>47</v>
      </c>
      <c r="B16" s="6">
        <f>'BB Income Stmt'!C7/(('BB Balance sheet'!C9+'BB Balance sheet'!E9)/2)</f>
        <v>25.371349704379472</v>
      </c>
      <c r="C16" s="6">
        <f>'BB Income Stmt'!E7/(('BB Balance sheet'!E9+'BB Balance sheet'!G9)/2)</f>
        <v>23.703026039078026</v>
      </c>
      <c r="D16" s="6">
        <f>'BB Income Stmt'!G7/(('BB Balance sheet'!G9+'BB Balance sheet'!I9)/2)</f>
        <v>34.1591831489194</v>
      </c>
      <c r="E16" s="6">
        <f>'BB Income Stmt'!I7/(('BB Balance sheet'!I9+'BB Balance sheet'!K9)/2)</f>
        <v>35.25609898708918</v>
      </c>
      <c r="F16" s="6">
        <f>'BB Income Stmt'!K7/(('BB Balance sheet'!K9+'BB Balance sheet'!M9)/2)</f>
        <v>20.28978204513546</v>
      </c>
      <c r="G16" s="3">
        <f>'FG Income stmt'!C7/(('FG Balance Sheet'!C9+'FG Balance Sheet'!E9)/2)</f>
        <v>9.644781969622734</v>
      </c>
      <c r="H16" s="3">
        <f>'FG Income stmt'!E7/(('FG Balance Sheet'!E9+'FG Balance Sheet'!G9)/2)</f>
        <v>12.672007003522173</v>
      </c>
      <c r="I16" s="3">
        <f>'FG Income stmt'!G7/(('FG Balance Sheet'!G9+'FG Balance Sheet'!I9)/2)</f>
        <v>22.636430744452397</v>
      </c>
      <c r="J16" s="3">
        <f>'FG Income stmt'!I7/(('FG Balance Sheet'!I9+'FG Balance Sheet'!K9)/2)</f>
        <v>26.236870102042346</v>
      </c>
      <c r="K16" s="3">
        <f>'FG Income stmt'!K7/('FG Balance Sheet'!K9)</f>
        <v>23.234273701342737</v>
      </c>
      <c r="L16" s="181" t="s">
        <v>209</v>
      </c>
      <c r="M16" s="181">
        <v>12.29</v>
      </c>
      <c r="N16" s="181"/>
      <c r="O16" s="181"/>
    </row>
    <row r="17" spans="1:15" ht="12.75">
      <c r="A17" s="11" t="s">
        <v>45</v>
      </c>
      <c r="B17" s="6">
        <f>'BB Balance sheet'!C9/('BB Income Stmt'!C7/365)</f>
        <v>12.764940570457394</v>
      </c>
      <c r="C17" s="6">
        <f>'BB Balance sheet'!E9/('BB Income Stmt'!E7/365)</f>
        <v>19.13057628025754</v>
      </c>
      <c r="D17" s="6">
        <f>'BB Balance sheet'!G9/('BB Income Stmt'!G7/365)</f>
        <v>17.162849544811557</v>
      </c>
      <c r="E17" s="6">
        <f>'BB Balance sheet'!I9/('BB Income Stmt'!I7/365)</f>
        <v>8.34010618158667</v>
      </c>
      <c r="F17" s="6">
        <f>'BB Balance sheet'!K9/('BB Income Stmt'!K7/365)</f>
        <v>13.893520104869875</v>
      </c>
      <c r="G17" s="3">
        <f>'FG Balance Sheet'!C9/('FG Income stmt'!C7/365)</f>
        <v>41.23288375769298</v>
      </c>
      <c r="H17" s="3">
        <f>'FG Balance Sheet'!E9/('FG Income stmt'!E7/365)</f>
        <v>39.088258950479954</v>
      </c>
      <c r="I17" s="3">
        <f>'FG Balance Sheet'!G9/('FG Income stmt'!G7/365)</f>
        <v>17.041934675245578</v>
      </c>
      <c r="J17" s="3">
        <f>'FG Balance Sheet'!I9/('FG Income stmt'!I7/365)</f>
        <v>17.57713914763436</v>
      </c>
      <c r="K17" s="3">
        <f>'FG Balance Sheet'!K9/('FG Income stmt'!K7/365)</f>
        <v>15.70955067034896</v>
      </c>
      <c r="L17" s="181"/>
      <c r="M17" s="181"/>
      <c r="N17" s="181"/>
      <c r="O17" s="181"/>
    </row>
    <row r="18" spans="1:15" ht="12.75">
      <c r="A18" s="11" t="s">
        <v>46</v>
      </c>
      <c r="B18" s="6">
        <f>'BB Income Stmt'!C7/(('BB Balance sheet'!C24+'BB Balance sheet'!E24)/2)</f>
        <v>2.1077577396997946</v>
      </c>
      <c r="C18" s="6">
        <f>'BB Income Stmt'!E7/(('BB Balance sheet'!E24+'BB Balance sheet'!G24)/2)</f>
        <v>2.1625196584978275</v>
      </c>
      <c r="D18" s="6">
        <f>'BB Income Stmt'!G7/(('BB Balance sheet'!G24+'BB Balance sheet'!I24)/2)</f>
        <v>1.9912522312475065</v>
      </c>
      <c r="E18" s="6">
        <f>'BB Income Stmt'!I7/(('BB Balance sheet'!I24+'BB Balance sheet'!K24)/2)</f>
        <v>1.1694047032968677</v>
      </c>
      <c r="F18" s="6">
        <f>'BB Income Stmt'!K7/(('BB Balance sheet'!K24+'BB Balance sheet'!M24)/2)</f>
        <v>1.0366512362169609</v>
      </c>
      <c r="G18" s="3">
        <f>'FG Income stmt'!C7/(('FG Balance Sheet'!C19+'FG Balance Sheet'!E19)/2)</f>
        <v>0.8234512052251322</v>
      </c>
      <c r="H18" s="3">
        <f>'FG Income stmt'!E7/(('FG Balance Sheet'!E19+'FG Balance Sheet'!G19)/2)</f>
        <v>0.6781496123917162</v>
      </c>
      <c r="I18" s="3">
        <f>'FG Income stmt'!G7/(('FG Balance Sheet'!G19+'FG Balance Sheet'!I19)/2)</f>
        <v>0.6430183610176908</v>
      </c>
      <c r="J18" s="3">
        <f>'FG Income stmt'!I7/(('FG Balance Sheet'!I19+'FG Balance Sheet'!K19)/2)</f>
        <v>0.5563135467793786</v>
      </c>
      <c r="K18" s="3">
        <f>'FG Income stmt'!K7/('FG Balance Sheet'!K19)</f>
        <v>0.401914148382748</v>
      </c>
      <c r="L18" s="181" t="s">
        <v>210</v>
      </c>
      <c r="M18" s="181">
        <v>0.73</v>
      </c>
      <c r="N18" s="181"/>
      <c r="O18" s="181"/>
    </row>
    <row r="19" spans="1:15" ht="12.75">
      <c r="A19" s="11" t="s">
        <v>49</v>
      </c>
      <c r="B19" s="6">
        <f>'BB Income Stmt'!C7/17687452</f>
        <v>4.187375660439955</v>
      </c>
      <c r="C19" s="6">
        <f>'BB Income Stmt'!E7/15518419</f>
        <v>3.9935564956713696</v>
      </c>
      <c r="D19" s="6">
        <f>'BB Income Stmt'!G7/9510725</f>
        <v>4.429657570795076</v>
      </c>
      <c r="E19" s="6">
        <f>'BB Income Stmt'!I7/9590362</f>
        <v>2.21625846865843</v>
      </c>
      <c r="F19" s="6">
        <f>'BB Income Stmt'!K7/9972476</f>
        <v>1.8969369292039409</v>
      </c>
      <c r="G19" s="3">
        <f>'FG Income stmt'!C7/3021799</f>
        <v>1.0488073495292043</v>
      </c>
      <c r="H19" s="3">
        <f>'FG Income stmt'!E7/3358251</f>
        <v>0.8318845136947774</v>
      </c>
      <c r="I19" s="3">
        <f>'FG Income stmt'!G7/3587516</f>
        <v>0.846216992481706</v>
      </c>
      <c r="J19" s="3">
        <f>'FG Income stmt'!I7/3922314</f>
        <v>0.6696187505640803</v>
      </c>
      <c r="K19" s="3">
        <f>'FG Income stmt'!K7/3969642</f>
        <v>0.4315409298873803</v>
      </c>
      <c r="L19" s="181"/>
      <c r="M19" s="181"/>
      <c r="N19" s="181"/>
      <c r="O19" s="181"/>
    </row>
    <row r="20" spans="1:15" ht="12.75">
      <c r="A20" s="11" t="s">
        <v>50</v>
      </c>
      <c r="B20" s="6">
        <f>-'BB Income Stmt'!C11/(('BB Balance sheet'!C29+'BB Balance sheet'!E29)/2)</f>
        <v>5.226188816094622</v>
      </c>
      <c r="C20" s="6">
        <f>-'BB Income Stmt'!E11/(('BB Balance sheet'!E29+'BB Balance sheet'!G29)/2)</f>
        <v>4.472578072152515</v>
      </c>
      <c r="D20" s="6">
        <f>-'BB Income Stmt'!G11/(('BB Balance sheet'!G29+'BB Balance sheet'!I29)/2)</f>
        <v>3.7304236074728463</v>
      </c>
      <c r="E20" s="6">
        <f>-'BB Income Stmt'!I11/(('BB Balance sheet'!I29+'BB Balance sheet'!K29)/2)</f>
        <v>2.2540146044526166</v>
      </c>
      <c r="F20" s="6">
        <f>-'BB Income Stmt'!K11/(('BB Balance sheet'!K29+'BB Balance sheet'!M29)/2)</f>
        <v>3.670481454068504</v>
      </c>
      <c r="G20" s="3">
        <f>-'FG Income stmt'!C11/(('FG Balance Sheet'!C24+'FG Balance Sheet'!E24)/2)</f>
        <v>4.330958447724463</v>
      </c>
      <c r="H20" s="3">
        <f>-'FG Income stmt'!E11/(('FG Balance Sheet'!E24+'FG Balance Sheet'!G24)/2)</f>
        <v>3.5523558621039992</v>
      </c>
      <c r="I20" s="3">
        <f>-'FG Income stmt'!G11/(('FG Balance Sheet'!G24+'FG Balance Sheet'!I24)/2)</f>
        <v>3.2548711404960313</v>
      </c>
      <c r="J20" s="3">
        <f>-'FG Income stmt'!I11/(('FG Balance Sheet'!I24+'FG Balance Sheet'!K24)/2)</f>
        <v>3.6426528614234432</v>
      </c>
      <c r="K20" s="3">
        <f>-'FG Income stmt'!K11/('FG Balance Sheet'!K24)</f>
        <v>4.078431454389882</v>
      </c>
      <c r="L20" s="181"/>
      <c r="M20" s="181"/>
      <c r="N20" s="181"/>
      <c r="O20" s="181"/>
    </row>
    <row r="21" spans="1:15" ht="12.75">
      <c r="A21" s="11" t="s">
        <v>51</v>
      </c>
      <c r="B21" s="6">
        <f>365/B20</f>
        <v>69.84056888184799</v>
      </c>
      <c r="C21" s="6">
        <f>365/C20</f>
        <v>81.6084133382912</v>
      </c>
      <c r="D21" s="6">
        <f aca="true" t="shared" si="1" ref="D21:K21">365/D20</f>
        <v>97.84411595209347</v>
      </c>
      <c r="E21" s="6">
        <f t="shared" si="1"/>
        <v>161.9332897306757</v>
      </c>
      <c r="F21" s="6">
        <f t="shared" si="1"/>
        <v>99.44199543507293</v>
      </c>
      <c r="G21" s="3">
        <f t="shared" si="1"/>
        <v>84.27695726145222</v>
      </c>
      <c r="H21" s="3">
        <f t="shared" si="1"/>
        <v>102.7487149848261</v>
      </c>
      <c r="I21" s="3">
        <f t="shared" si="1"/>
        <v>112.13961605385559</v>
      </c>
      <c r="J21" s="3">
        <f t="shared" si="1"/>
        <v>100.20169746764411</v>
      </c>
      <c r="K21" s="3">
        <f t="shared" si="1"/>
        <v>89.4951905118147</v>
      </c>
      <c r="L21" s="181"/>
      <c r="M21" s="181"/>
      <c r="N21" s="181"/>
      <c r="O21" s="181"/>
    </row>
    <row r="22" spans="1:15" ht="12.75">
      <c r="A22" s="11" t="s">
        <v>52</v>
      </c>
      <c r="B22" s="6">
        <f>'BB Cash Flow'!D19/'BB Income Stmt'!C29</f>
        <v>-14.250169630599782</v>
      </c>
      <c r="C22" s="6">
        <f>'BB Cash Flow'!E19/'BB Income Stmt'!E29</f>
        <v>0.7302713087035065</v>
      </c>
      <c r="D22" s="6">
        <f>'BB Cash Flow'!F19/'BB Income Stmt'!G29</f>
        <v>-0.8311166339206743</v>
      </c>
      <c r="E22" s="6">
        <f>'BB Cash Flow'!G19/'BB Income Stmt'!I29</f>
        <v>18.097165596807773</v>
      </c>
      <c r="F22" s="6">
        <f>'BB Cash Flow'!H19/'BB Income Stmt'!K29</f>
        <v>-0.3826662856289121</v>
      </c>
      <c r="G22" s="3">
        <f>'FG Cash flow'!D24/'FG Income stmt'!C24</f>
        <v>-3.2501430777371043</v>
      </c>
      <c r="H22" s="3">
        <f>'FG Cash flow'!E24/'FG Income stmt'!E24</f>
        <v>0.5003580252182531</v>
      </c>
      <c r="I22" s="3">
        <f>'FG Cash flow'!F24/'FG Income stmt'!G24</f>
        <v>-0.27469417364485466</v>
      </c>
      <c r="J22" s="3">
        <f>'FG Cash flow'!G24/'FG Income stmt'!I24</f>
        <v>0.12483890782516531</v>
      </c>
      <c r="K22" s="3">
        <f>'FG Cash flow'!H24/'FG Income stmt'!K24</f>
        <v>0.6925403857173705</v>
      </c>
      <c r="L22" s="181"/>
      <c r="M22" s="181"/>
      <c r="N22" s="181"/>
      <c r="O22" s="181"/>
    </row>
    <row r="23" spans="1:15" ht="12.75">
      <c r="A23" s="11" t="s">
        <v>53</v>
      </c>
      <c r="B23" s="6">
        <f>'BB Cash Flow'!D19/'BB Cash Flow'!D35</f>
        <v>0.45498542456190555</v>
      </c>
      <c r="C23" s="6">
        <f>'BB Cash Flow'!E19/'BB Cash Flow'!E35</f>
        <v>-0.50733988447088</v>
      </c>
      <c r="D23" s="6">
        <f>'BB Cash Flow'!F19/'BB Cash Flow'!F35</f>
        <v>1.9832556573088265</v>
      </c>
      <c r="E23" s="6">
        <f>'BB Cash Flow'!G19/'BB Cash Flow'!G35</f>
        <v>-1.8606470931865917</v>
      </c>
      <c r="F23" s="6">
        <f>'BB Cash Flow'!H19/'BB Cash Flow'!H35</f>
        <v>-0.8444361595479386</v>
      </c>
      <c r="G23" s="3">
        <f>'FG Cash flow'!D24/'FG Cash flow'!D39</f>
        <v>-70.25816993464052</v>
      </c>
      <c r="H23" s="3">
        <f>'FG Cash flow'!E24/'FG Cash flow'!E39</f>
        <v>1.9429534217819229</v>
      </c>
      <c r="I23" s="176" t="s">
        <v>191</v>
      </c>
      <c r="J23" s="176" t="s">
        <v>191</v>
      </c>
      <c r="K23" s="176" t="s">
        <v>191</v>
      </c>
      <c r="L23" s="181"/>
      <c r="M23" s="181"/>
      <c r="N23" s="181"/>
      <c r="O23" s="181"/>
    </row>
    <row r="24" spans="1:15" ht="12.75">
      <c r="A24" s="11"/>
      <c r="B24" s="6"/>
      <c r="C24" s="6"/>
      <c r="D24" s="6"/>
      <c r="E24" s="6"/>
      <c r="F24" s="6"/>
      <c r="G24" s="3"/>
      <c r="H24" s="3"/>
      <c r="I24" s="3"/>
      <c r="J24" s="3"/>
      <c r="K24" s="3"/>
      <c r="L24" s="181"/>
      <c r="M24" s="181"/>
      <c r="N24" s="181"/>
      <c r="O24" s="181"/>
    </row>
    <row r="25" spans="1:15" ht="12.75">
      <c r="A25" s="12" t="s">
        <v>54</v>
      </c>
      <c r="B25" s="6"/>
      <c r="C25" s="6"/>
      <c r="D25" s="6"/>
      <c r="E25" s="6"/>
      <c r="F25" s="6"/>
      <c r="G25" s="3"/>
      <c r="H25" s="3"/>
      <c r="I25" s="3"/>
      <c r="J25" s="3"/>
      <c r="K25" s="3"/>
      <c r="L25" s="181"/>
      <c r="M25" s="181"/>
      <c r="N25" s="181"/>
      <c r="O25" s="181"/>
    </row>
    <row r="26" spans="1:15" ht="12.75">
      <c r="A26" s="11" t="s">
        <v>55</v>
      </c>
      <c r="B26" s="6">
        <f>'BB Balance sheet'!C13/'BB Balance sheet'!C32</f>
        <v>2.3156525763511446</v>
      </c>
      <c r="C26" s="6">
        <f>'BB Balance sheet'!E13/'BB Balance sheet'!E32</f>
        <v>1.553255265049584</v>
      </c>
      <c r="D26" s="6">
        <f>'BB Balance sheet'!G13/'BB Balance sheet'!G32</f>
        <v>2.623997261678365</v>
      </c>
      <c r="E26" s="6">
        <f>'BB Balance sheet'!I13/'BB Balance sheet'!I32</f>
        <v>0.48516249790249955</v>
      </c>
      <c r="F26" s="6">
        <f>'BB Balance sheet'!K13/'BB Balance sheet'!K32</f>
        <v>0.4845290072507577</v>
      </c>
      <c r="G26" s="3">
        <f>'FG Balance Sheet'!C13/'FG Balance Sheet'!C27</f>
        <v>1.1780573023500402</v>
      </c>
      <c r="H26" s="3">
        <f>'FG Balance Sheet'!E13/'FG Balance Sheet'!E27</f>
        <v>1.0763718623569845</v>
      </c>
      <c r="I26" s="3">
        <f>'FG Balance Sheet'!G13/'FG Balance Sheet'!G27</f>
        <v>0.42504517930941954</v>
      </c>
      <c r="J26" s="3">
        <f>'FG Balance Sheet'!I13/'FG Balance Sheet'!I27</f>
        <v>0.3897288036617517</v>
      </c>
      <c r="K26" s="3">
        <f>'FG Balance Sheet'!K13/'FG Balance Sheet'!K27</f>
        <v>0.08300586534803893</v>
      </c>
      <c r="L26" s="181" t="s">
        <v>211</v>
      </c>
      <c r="M26" s="181">
        <v>1.1</v>
      </c>
      <c r="N26" s="181"/>
      <c r="O26" s="181"/>
    </row>
    <row r="27" spans="1:15" ht="12.75">
      <c r="A27" s="11" t="s">
        <v>56</v>
      </c>
      <c r="B27" s="7">
        <f>('BB Balance sheet'!C8+'BB Balance sheet'!C9)/'BB Balance sheet'!C32</f>
        <v>0.5281298631103413</v>
      </c>
      <c r="C27" s="7">
        <f>('BB Balance sheet'!E8+'BB Balance sheet'!E9)/'BB Balance sheet'!E32</f>
        <v>0.6271615363442745</v>
      </c>
      <c r="D27" s="7">
        <f>('BB Balance sheet'!G8+'BB Balance sheet'!G9)/'BB Balance sheet'!G32</f>
        <v>1.411561808623716</v>
      </c>
      <c r="E27" s="7">
        <f>('BB Balance sheet'!I8+'BB Balance sheet'!I9)/'BB Balance sheet'!I32</f>
        <v>0.08401453805687556</v>
      </c>
      <c r="F27" s="7">
        <f>('BB Balance sheet'!K8+'BB Balance sheet'!K9)/'BB Balance sheet'!K32</f>
        <v>0.1066197053173852</v>
      </c>
      <c r="G27" s="3">
        <f>('FG Balance Sheet'!C8+'FG Balance Sheet'!C9)/'FG Balance Sheet'!C27</f>
        <v>0.7975675406912756</v>
      </c>
      <c r="H27" s="3">
        <f>('FG Balance Sheet'!E8+'FG Balance Sheet'!E9)/'FG Balance Sheet'!E27</f>
        <v>0.5962604950624266</v>
      </c>
      <c r="I27" s="3">
        <f>('FG Balance Sheet'!G8+'FG Balance Sheet'!G9)/'FG Balance Sheet'!G27</f>
        <v>0.23516862007995903</v>
      </c>
      <c r="J27" s="3">
        <f>('FG Balance Sheet'!I8+'FG Balance Sheet'!I9)/'FG Balance Sheet'!I27</f>
        <v>0.17741171949470574</v>
      </c>
      <c r="K27" s="3">
        <f>('FG Balance Sheet'!K8+'FG Balance Sheet'!K9)/'FG Balance Sheet'!K27</f>
        <v>0.02091464481838469</v>
      </c>
      <c r="L27" s="181" t="s">
        <v>212</v>
      </c>
      <c r="M27" s="181">
        <v>0.6</v>
      </c>
      <c r="N27" s="181"/>
      <c r="O27" s="181"/>
    </row>
    <row r="28" spans="1:15" ht="12.75">
      <c r="A28" s="11" t="s">
        <v>57</v>
      </c>
      <c r="B28" s="6">
        <f>'BB Balance sheet'!C8/'BB Balance sheet'!C32</f>
        <v>0.01075654342076537</v>
      </c>
      <c r="C28" s="6">
        <f>'BB Balance sheet'!E8/'BB Balance sheet'!E32</f>
        <v>0.08465666612330411</v>
      </c>
      <c r="D28" s="6">
        <f>'BB Balance sheet'!G8/'BB Balance sheet'!G32</f>
        <v>0.8620720262914382</v>
      </c>
      <c r="E28" s="6">
        <f>'BB Balance sheet'!I8/'BB Balance sheet'!I32</f>
        <v>0</v>
      </c>
      <c r="F28" s="6">
        <f>'BB Balance sheet'!K8/'BB Balance sheet'!K32</f>
        <v>0</v>
      </c>
      <c r="G28" s="3">
        <f>'FG Balance Sheet'!C8/'FG Balance Sheet'!C27</f>
        <v>0.19413155708071173</v>
      </c>
      <c r="H28" s="3">
        <f>'FG Balance Sheet'!E8/'FG Balance Sheet'!E27</f>
        <v>0.07565667551224606</v>
      </c>
      <c r="I28" s="3">
        <f>'FG Balance Sheet'!G8/'FG Balance Sheet'!G27</f>
        <v>0.14588523416078605</v>
      </c>
      <c r="J28" s="3">
        <f>'FG Balance Sheet'!I8/'FG Balance Sheet'!I27</f>
        <v>0.10952622222985564</v>
      </c>
      <c r="K28" s="3">
        <f>'FG Balance Sheet'!K8/'FG Balance Sheet'!K27</f>
        <v>0</v>
      </c>
      <c r="L28" s="181"/>
      <c r="M28" s="181"/>
      <c r="N28" s="181"/>
      <c r="O28" s="181"/>
    </row>
    <row r="29" spans="1:15" ht="12.75">
      <c r="A29" s="11"/>
      <c r="B29" s="6"/>
      <c r="C29" s="6"/>
      <c r="D29" s="6"/>
      <c r="E29" s="6"/>
      <c r="F29" s="6"/>
      <c r="G29" s="3"/>
      <c r="H29" s="3"/>
      <c r="I29" s="3"/>
      <c r="J29" s="3"/>
      <c r="K29" s="3"/>
      <c r="L29" s="181"/>
      <c r="M29" s="181"/>
      <c r="N29" s="181"/>
      <c r="O29" s="181"/>
    </row>
    <row r="30" spans="1:15" ht="12.75">
      <c r="A30" s="12" t="s">
        <v>58</v>
      </c>
      <c r="B30" s="6"/>
      <c r="C30" s="6"/>
      <c r="D30" s="6"/>
      <c r="E30" s="6"/>
      <c r="F30" s="6"/>
      <c r="G30" s="3"/>
      <c r="H30" s="3"/>
      <c r="I30" s="3"/>
      <c r="J30" s="3"/>
      <c r="K30" s="3"/>
      <c r="L30" s="181"/>
      <c r="M30" s="181"/>
      <c r="N30" s="181"/>
      <c r="O30" s="181"/>
    </row>
    <row r="31" spans="1:15" ht="12.75">
      <c r="A31" s="13" t="s">
        <v>59</v>
      </c>
      <c r="B31" s="8">
        <f>'BB Balance sheet'!C39/'BB Balance sheet'!C47</f>
        <v>0.25332191154055844</v>
      </c>
      <c r="C31" s="8">
        <f>'BB Balance sheet'!E39/'BB Balance sheet'!E47</f>
        <v>0.27577087260881705</v>
      </c>
      <c r="D31" s="8">
        <f>'BB Balance sheet'!G39/'BB Balance sheet'!G47</f>
        <v>0.2539090821575952</v>
      </c>
      <c r="E31" s="8">
        <f>'BB Balance sheet'!I39/'BB Balance sheet'!I47</f>
        <v>0.5173561012552266</v>
      </c>
      <c r="F31" s="8">
        <f>'BB Balance sheet'!K39/'BB Balance sheet'!K47</f>
        <v>0.535560059052549</v>
      </c>
      <c r="G31" s="10">
        <f>'FG Balance Sheet'!C32/'FG Balance Sheet'!C42</f>
        <v>0.48798347430397787</v>
      </c>
      <c r="H31" s="10">
        <f>'FG Balance Sheet'!E32/'FG Balance Sheet'!E42</f>
        <v>0.5023507505378048</v>
      </c>
      <c r="I31" s="10">
        <f>'FG Balance Sheet'!G32/'FG Balance Sheet'!G42</f>
        <v>0.19909358839425267</v>
      </c>
      <c r="J31" s="10">
        <f>'FG Balance Sheet'!I32/'FG Balance Sheet'!I42</f>
        <v>0.1555355945278213</v>
      </c>
      <c r="K31" s="10">
        <f>'FG Balance Sheet'!K32/'FG Balance Sheet'!K42</f>
        <v>0.011753620906837944</v>
      </c>
      <c r="L31" s="181" t="s">
        <v>213</v>
      </c>
      <c r="M31" s="181">
        <v>1.71</v>
      </c>
      <c r="N31" s="181"/>
      <c r="O31" s="181"/>
    </row>
    <row r="32" spans="1:15" ht="12.75">
      <c r="A32" s="13" t="s">
        <v>60</v>
      </c>
      <c r="B32" s="8">
        <f>('BB Income Stmt'!C26-'BB Income Stmt'!C19)/-'BB Income Stmt'!C19</f>
        <v>2.11337663343771</v>
      </c>
      <c r="C32" s="8">
        <f>('BB Income Stmt'!E26-'BB Income Stmt'!E19)/-'BB Income Stmt'!E19</f>
        <v>13.136431379082113</v>
      </c>
      <c r="D32" s="8">
        <f>('BB Income Stmt'!G26-'BB Income Stmt'!G19)/-'BB Income Stmt'!G19</f>
        <v>11.838762177518603</v>
      </c>
      <c r="E32" s="8">
        <f>('BB Income Stmt'!I26-'BB Income Stmt'!I19)/-'BB Income Stmt'!I19</f>
        <v>1.4312535363407233</v>
      </c>
      <c r="F32" s="8">
        <f>('BB Income Stmt'!K26-'BB Income Stmt'!K19)/-'BB Income Stmt'!K19</f>
        <v>-11.484189294699402</v>
      </c>
      <c r="G32" s="10">
        <f>('FG Income stmt'!C24-'FG Income stmt'!C18)/-'FG Income stmt'!C18</f>
        <v>0.15969184980854037</v>
      </c>
      <c r="H32" s="10">
        <f>('FG Income stmt'!E24-'FG Income stmt'!E18)/-'FG Income stmt'!E18</f>
        <v>-2.706719867817405</v>
      </c>
      <c r="I32" s="10">
        <f>('FG Income stmt'!G24-'FG Income stmt'!G18)/-'FG Income stmt'!G18</f>
        <v>-5.6378363190683345</v>
      </c>
      <c r="J32" s="10">
        <f>('FG Income stmt'!I24-'FG Income stmt'!I18)/-'FG Income stmt'!I18</f>
        <v>-0.784222289078953</v>
      </c>
      <c r="K32" s="10">
        <f>('FG Income stmt'!K24-'FG Income stmt'!K18)/-'FG Income stmt'!K18</f>
        <v>-1.8625899453838517</v>
      </c>
      <c r="L32" s="181" t="s">
        <v>214</v>
      </c>
      <c r="M32" s="181">
        <v>5.42</v>
      </c>
      <c r="N32" s="181"/>
      <c r="O32" s="181"/>
    </row>
    <row r="33" spans="1:15" ht="12.75">
      <c r="A33" s="13" t="s">
        <v>61</v>
      </c>
      <c r="B33" s="8"/>
      <c r="C33" s="8"/>
      <c r="D33" s="8"/>
      <c r="E33" s="8"/>
      <c r="F33" s="8"/>
      <c r="G33" s="10"/>
      <c r="H33" s="10"/>
      <c r="I33" s="10"/>
      <c r="J33" s="10"/>
      <c r="K33" s="10"/>
      <c r="L33" s="181"/>
      <c r="M33" s="181"/>
      <c r="N33" s="181"/>
      <c r="O33" s="181"/>
    </row>
    <row r="34" spans="1:15" ht="12.75">
      <c r="A34" s="11"/>
      <c r="B34" s="5"/>
      <c r="C34" s="5"/>
      <c r="D34" s="5"/>
      <c r="E34" s="5"/>
      <c r="F34" s="5"/>
      <c r="G34" s="2"/>
      <c r="H34" s="2"/>
      <c r="I34" s="2"/>
      <c r="J34" s="2"/>
      <c r="K34" s="2"/>
      <c r="L34" s="181"/>
      <c r="M34" s="181"/>
      <c r="N34" s="181"/>
      <c r="O34" s="181"/>
    </row>
    <row r="35" spans="2:8" ht="12.75">
      <c r="B35" s="180" t="s">
        <v>215</v>
      </c>
      <c r="C35" s="180" t="s">
        <v>216</v>
      </c>
      <c r="D35" s="180"/>
      <c r="E35" s="180"/>
      <c r="F35" s="180"/>
      <c r="G35" s="180" t="s">
        <v>215</v>
      </c>
      <c r="H35" s="180" t="s">
        <v>216</v>
      </c>
    </row>
    <row r="36" spans="1:10" ht="12.75">
      <c r="A36" s="12" t="s">
        <v>62</v>
      </c>
      <c r="B36" s="181"/>
      <c r="C36" s="181"/>
      <c r="D36" s="181"/>
      <c r="E36" s="181"/>
      <c r="F36" s="181"/>
      <c r="G36" s="181"/>
      <c r="H36" s="181"/>
      <c r="I36" s="181"/>
      <c r="J36" s="181"/>
    </row>
    <row r="37" spans="1:10" ht="12.75">
      <c r="A37" s="11" t="s">
        <v>36</v>
      </c>
      <c r="B37" s="181">
        <f>SUM(B4:F4)/5</f>
        <v>0.03873569479418357</v>
      </c>
      <c r="C37" s="181">
        <f>SUM(B4:D4)/3</f>
        <v>0.11917847138967896</v>
      </c>
      <c r="D37" s="181"/>
      <c r="E37" s="181"/>
      <c r="F37" s="181"/>
      <c r="G37" s="181">
        <f>SUM(G4:K4)/5</f>
        <v>-0.17059651968708373</v>
      </c>
      <c r="H37" s="181">
        <f>SUM(G4:I4)/3</f>
        <v>-0.11655671404767826</v>
      </c>
      <c r="I37" s="181"/>
      <c r="J37" s="181"/>
    </row>
    <row r="38" spans="1:10" ht="12.75">
      <c r="A38" s="11" t="s">
        <v>37</v>
      </c>
      <c r="B38" s="181">
        <f aca="true" t="shared" si="2" ref="B38:B65">SUM(B5:F5)/5</f>
        <v>0.029244582615534732</v>
      </c>
      <c r="C38" s="181">
        <f aca="true" t="shared" si="3" ref="C38:C65">SUM(B5:D5)/3</f>
        <v>0.12453349341395546</v>
      </c>
      <c r="D38" s="181"/>
      <c r="E38" s="181"/>
      <c r="F38" s="181"/>
      <c r="G38" s="181">
        <f aca="true" t="shared" si="4" ref="G38:G65">SUM(G5:K5)/5</f>
        <v>-0.5028265170610642</v>
      </c>
      <c r="H38" s="181">
        <f aca="true" t="shared" si="5" ref="H38:H65">SUM(G5:I5)/3</f>
        <v>-0.21506884713800245</v>
      </c>
      <c r="I38" s="181"/>
      <c r="J38" s="181"/>
    </row>
    <row r="39" spans="1:10" ht="12.75">
      <c r="A39" s="11" t="s">
        <v>38</v>
      </c>
      <c r="B39" s="181"/>
      <c r="C39" s="181"/>
      <c r="D39" s="181"/>
      <c r="E39" s="181"/>
      <c r="F39" s="181"/>
      <c r="G39" s="181"/>
      <c r="H39" s="181"/>
      <c r="I39" s="181"/>
      <c r="J39" s="181"/>
    </row>
    <row r="40" spans="1:10" ht="12.75">
      <c r="A40" s="11" t="s">
        <v>39</v>
      </c>
      <c r="B40" s="181">
        <f t="shared" si="2"/>
        <v>62.472222222222214</v>
      </c>
      <c r="C40" s="181">
        <f t="shared" si="3"/>
        <v>80.41666666666666</v>
      </c>
      <c r="D40" s="181"/>
      <c r="E40" s="181"/>
      <c r="F40" s="181"/>
      <c r="G40" s="181">
        <f t="shared" si="4"/>
        <v>-5.093498168498169</v>
      </c>
      <c r="H40" s="181">
        <f t="shared" si="5"/>
        <v>-7.732142857142858</v>
      </c>
      <c r="I40" s="181"/>
      <c r="J40" s="181"/>
    </row>
    <row r="41" spans="1:10" ht="12.75">
      <c r="A41" s="11" t="s">
        <v>40</v>
      </c>
      <c r="B41" s="181">
        <f t="shared" si="2"/>
        <v>-16.237403242253038</v>
      </c>
      <c r="C41" s="181">
        <f t="shared" si="3"/>
        <v>-13.202215404922413</v>
      </c>
      <c r="D41" s="181"/>
      <c r="E41" s="181"/>
      <c r="F41" s="181"/>
      <c r="G41" s="181">
        <f t="shared" si="4"/>
        <v>-5.155477775012722</v>
      </c>
      <c r="H41" s="181">
        <f t="shared" si="5"/>
        <v>1.1611901281538044</v>
      </c>
      <c r="I41" s="181"/>
      <c r="J41" s="181"/>
    </row>
    <row r="42" spans="1:10" ht="12.75">
      <c r="A42" s="11" t="s">
        <v>41</v>
      </c>
      <c r="B42" s="181">
        <f t="shared" si="2"/>
        <v>0.04</v>
      </c>
      <c r="C42" s="181">
        <f t="shared" si="3"/>
        <v>0.12333333333333334</v>
      </c>
      <c r="D42" s="181"/>
      <c r="E42" s="181"/>
      <c r="F42" s="181"/>
      <c r="G42" s="181">
        <f t="shared" si="4"/>
        <v>-0.23079999999999998</v>
      </c>
      <c r="H42" s="181">
        <f t="shared" si="5"/>
        <v>-0.078</v>
      </c>
      <c r="I42" s="181"/>
      <c r="J42" s="181"/>
    </row>
    <row r="43" spans="1:10" ht="12.75">
      <c r="A43" s="11" t="s">
        <v>48</v>
      </c>
      <c r="B43" s="181">
        <f t="shared" si="2"/>
        <v>-0.009491112178648845</v>
      </c>
      <c r="C43" s="181">
        <f t="shared" si="3"/>
        <v>0.005355022024276485</v>
      </c>
      <c r="D43" s="181"/>
      <c r="E43" s="181"/>
      <c r="F43" s="181"/>
      <c r="G43" s="181">
        <f t="shared" si="4"/>
        <v>-0.33222999737398046</v>
      </c>
      <c r="H43" s="181">
        <f t="shared" si="5"/>
        <v>-0.09851213309032421</v>
      </c>
      <c r="I43" s="181"/>
      <c r="J43" s="181"/>
    </row>
    <row r="44" spans="1:10" ht="12.75">
      <c r="A44" s="11" t="s">
        <v>42</v>
      </c>
      <c r="B44" s="181"/>
      <c r="C44" s="181"/>
      <c r="D44" s="181"/>
      <c r="E44" s="181"/>
      <c r="F44" s="181"/>
      <c r="G44" s="181"/>
      <c r="H44" s="181"/>
      <c r="I44" s="181"/>
      <c r="J44" s="181"/>
    </row>
    <row r="45" spans="1:10" ht="12.75">
      <c r="A45" s="11" t="s">
        <v>43</v>
      </c>
      <c r="B45" s="181"/>
      <c r="C45" s="181"/>
      <c r="D45" s="181"/>
      <c r="E45" s="181"/>
      <c r="F45" s="181"/>
      <c r="G45" s="181"/>
      <c r="H45" s="181"/>
      <c r="I45" s="181"/>
      <c r="J45" s="181"/>
    </row>
    <row r="46" spans="1:10" ht="12.75">
      <c r="A46" s="11"/>
      <c r="B46" s="181"/>
      <c r="C46" s="181"/>
      <c r="D46" s="181"/>
      <c r="E46" s="181"/>
      <c r="F46" s="181"/>
      <c r="G46" s="181"/>
      <c r="H46" s="181"/>
      <c r="I46" s="181"/>
      <c r="J46" s="181"/>
    </row>
    <row r="47" spans="1:10" ht="12.75">
      <c r="A47" s="12" t="s">
        <v>63</v>
      </c>
      <c r="B47" s="181"/>
      <c r="C47" s="181"/>
      <c r="D47" s="181"/>
      <c r="E47" s="181"/>
      <c r="F47" s="181"/>
      <c r="G47" s="181"/>
      <c r="H47" s="181"/>
      <c r="I47" s="181"/>
      <c r="J47" s="181"/>
    </row>
    <row r="48" spans="1:10" ht="12.75">
      <c r="A48" s="11" t="s">
        <v>44</v>
      </c>
      <c r="B48" s="181">
        <f t="shared" si="2"/>
        <v>4.765428327924308</v>
      </c>
      <c r="C48" s="181">
        <f t="shared" si="3"/>
        <v>4.1255718365198994</v>
      </c>
      <c r="D48" s="181"/>
      <c r="E48" s="181"/>
      <c r="F48" s="181"/>
      <c r="G48" s="181">
        <f t="shared" si="4"/>
        <v>6.838647696244211</v>
      </c>
      <c r="H48" s="181">
        <f t="shared" si="5"/>
        <v>5.8954522129519065</v>
      </c>
      <c r="I48" s="181"/>
      <c r="J48" s="181"/>
    </row>
    <row r="49" spans="1:10" ht="12.75">
      <c r="A49" s="11" t="s">
        <v>47</v>
      </c>
      <c r="B49" s="181">
        <f t="shared" si="2"/>
        <v>27.75588798492031</v>
      </c>
      <c r="C49" s="181">
        <f t="shared" si="3"/>
        <v>27.744519630792297</v>
      </c>
      <c r="D49" s="181"/>
      <c r="E49" s="181"/>
      <c r="F49" s="181"/>
      <c r="G49" s="181">
        <f t="shared" si="4"/>
        <v>18.884872704196475</v>
      </c>
      <c r="H49" s="181">
        <f t="shared" si="5"/>
        <v>14.984406572532436</v>
      </c>
      <c r="I49" s="181"/>
      <c r="J49" s="181"/>
    </row>
    <row r="50" spans="1:10" ht="12.75">
      <c r="A50" s="11" t="s">
        <v>45</v>
      </c>
      <c r="B50" s="181">
        <f t="shared" si="2"/>
        <v>14.258398536396607</v>
      </c>
      <c r="C50" s="181">
        <f t="shared" si="3"/>
        <v>16.35278879850883</v>
      </c>
      <c r="D50" s="181"/>
      <c r="E50" s="181"/>
      <c r="F50" s="181"/>
      <c r="G50" s="181">
        <f t="shared" si="4"/>
        <v>26.12995344028037</v>
      </c>
      <c r="H50" s="181">
        <f t="shared" si="5"/>
        <v>32.45435912780618</v>
      </c>
      <c r="I50" s="181"/>
      <c r="J50" s="181"/>
    </row>
    <row r="51" spans="1:10" ht="12.75">
      <c r="A51" s="11" t="s">
        <v>46</v>
      </c>
      <c r="B51" s="181">
        <f t="shared" si="2"/>
        <v>1.6935171137917915</v>
      </c>
      <c r="C51" s="181">
        <f t="shared" si="3"/>
        <v>2.0871765431483764</v>
      </c>
      <c r="D51" s="181"/>
      <c r="E51" s="181"/>
      <c r="F51" s="181"/>
      <c r="G51" s="181">
        <f t="shared" si="4"/>
        <v>0.6205693747593332</v>
      </c>
      <c r="H51" s="181">
        <f t="shared" si="5"/>
        <v>0.7148730595448464</v>
      </c>
      <c r="I51" s="181"/>
      <c r="J51" s="181"/>
    </row>
    <row r="52" spans="1:10" ht="12.75">
      <c r="A52" s="11" t="s">
        <v>49</v>
      </c>
      <c r="B52" s="181">
        <f t="shared" si="2"/>
        <v>3.344757024953755</v>
      </c>
      <c r="C52" s="181">
        <f t="shared" si="3"/>
        <v>4.2035299089688</v>
      </c>
      <c r="D52" s="181"/>
      <c r="E52" s="181"/>
      <c r="F52" s="181"/>
      <c r="G52" s="181">
        <f t="shared" si="4"/>
        <v>0.7656137072314296</v>
      </c>
      <c r="H52" s="181">
        <f t="shared" si="5"/>
        <v>0.9089696185685625</v>
      </c>
      <c r="I52" s="181"/>
      <c r="J52" s="181"/>
    </row>
    <row r="53" spans="1:10" ht="12.75">
      <c r="A53" s="11" t="s">
        <v>50</v>
      </c>
      <c r="B53" s="181">
        <f t="shared" si="2"/>
        <v>3.870737310848221</v>
      </c>
      <c r="C53" s="181">
        <f t="shared" si="3"/>
        <v>4.476396831906661</v>
      </c>
      <c r="D53" s="181"/>
      <c r="E53" s="181"/>
      <c r="F53" s="181"/>
      <c r="G53" s="181">
        <f t="shared" si="4"/>
        <v>3.7718539532275637</v>
      </c>
      <c r="H53" s="181">
        <f t="shared" si="5"/>
        <v>3.7127284834414973</v>
      </c>
      <c r="I53" s="181"/>
      <c r="J53" s="181"/>
    </row>
    <row r="54" spans="1:10" ht="12.75">
      <c r="A54" s="11" t="s">
        <v>51</v>
      </c>
      <c r="B54" s="181">
        <f t="shared" si="2"/>
        <v>102.13367666759625</v>
      </c>
      <c r="C54" s="181">
        <f t="shared" si="3"/>
        <v>83.09769939074421</v>
      </c>
      <c r="D54" s="181"/>
      <c r="E54" s="181"/>
      <c r="F54" s="181"/>
      <c r="G54" s="181">
        <f t="shared" si="4"/>
        <v>97.77243525591855</v>
      </c>
      <c r="H54" s="181">
        <f t="shared" si="5"/>
        <v>99.72176276671131</v>
      </c>
      <c r="I54" s="181"/>
      <c r="J54" s="181"/>
    </row>
    <row r="55" spans="1:10" ht="12.75">
      <c r="A55" s="11" t="s">
        <v>52</v>
      </c>
      <c r="B55" s="181">
        <f t="shared" si="2"/>
        <v>0.6726968710723826</v>
      </c>
      <c r="C55" s="181">
        <f t="shared" si="3"/>
        <v>-4.783671651938983</v>
      </c>
      <c r="D55" s="181"/>
      <c r="E55" s="181"/>
      <c r="F55" s="181"/>
      <c r="G55" s="181">
        <f t="shared" si="4"/>
        <v>-0.441419986524234</v>
      </c>
      <c r="H55" s="181">
        <f t="shared" si="5"/>
        <v>-1.0081597420545687</v>
      </c>
      <c r="I55" s="181"/>
      <c r="J55" s="181"/>
    </row>
    <row r="56" spans="1:10" ht="12.75">
      <c r="A56" s="11" t="s">
        <v>53</v>
      </c>
      <c r="B56" s="181">
        <f t="shared" si="2"/>
        <v>-0.15483641106693566</v>
      </c>
      <c r="C56" s="181">
        <f t="shared" si="3"/>
        <v>0.6436337324666174</v>
      </c>
      <c r="D56" s="181"/>
      <c r="E56" s="181"/>
      <c r="F56" s="181"/>
      <c r="G56" s="181">
        <f t="shared" si="4"/>
        <v>-13.663043302571719</v>
      </c>
      <c r="H56" s="181">
        <f t="shared" si="5"/>
        <v>-22.771738837619534</v>
      </c>
      <c r="I56" s="181"/>
      <c r="J56" s="181"/>
    </row>
    <row r="57" spans="1:10" ht="12.75">
      <c r="A57" s="11"/>
      <c r="B57" s="181"/>
      <c r="C57" s="181"/>
      <c r="D57" s="181"/>
      <c r="E57" s="181"/>
      <c r="F57" s="181"/>
      <c r="G57" s="181"/>
      <c r="H57" s="181"/>
      <c r="I57" s="181"/>
      <c r="J57" s="181"/>
    </row>
    <row r="58" spans="1:10" ht="12.75">
      <c r="A58" s="12" t="s">
        <v>54</v>
      </c>
      <c r="B58" s="181"/>
      <c r="C58" s="181"/>
      <c r="D58" s="181"/>
      <c r="E58" s="181"/>
      <c r="F58" s="181"/>
      <c r="G58" s="181"/>
      <c r="H58" s="181"/>
      <c r="I58" s="181"/>
      <c r="J58" s="181"/>
    </row>
    <row r="59" spans="1:10" ht="12.75">
      <c r="A59" s="13" t="s">
        <v>55</v>
      </c>
      <c r="B59" s="181">
        <f t="shared" si="2"/>
        <v>1.4925193216464703</v>
      </c>
      <c r="C59" s="181">
        <f t="shared" si="3"/>
        <v>2.1643017010263645</v>
      </c>
      <c r="D59" s="181"/>
      <c r="E59" s="181"/>
      <c r="F59" s="181"/>
      <c r="G59" s="181">
        <f t="shared" si="4"/>
        <v>0.6304418026052471</v>
      </c>
      <c r="H59" s="181">
        <f t="shared" si="5"/>
        <v>0.8931581146721482</v>
      </c>
      <c r="I59" s="181"/>
      <c r="J59" s="181"/>
    </row>
    <row r="60" spans="1:10" ht="12.75">
      <c r="A60" s="13" t="s">
        <v>56</v>
      </c>
      <c r="B60" s="181">
        <f t="shared" si="2"/>
        <v>0.5514974902905185</v>
      </c>
      <c r="C60" s="181">
        <f t="shared" si="3"/>
        <v>0.8556177360261105</v>
      </c>
      <c r="D60" s="181"/>
      <c r="E60" s="181"/>
      <c r="F60" s="181"/>
      <c r="G60" s="181">
        <f t="shared" si="4"/>
        <v>0.3654646040293504</v>
      </c>
      <c r="H60" s="181">
        <f t="shared" si="5"/>
        <v>0.5429988852778871</v>
      </c>
      <c r="I60" s="181"/>
      <c r="J60" s="181"/>
    </row>
    <row r="61" spans="1:10" ht="12.75">
      <c r="A61" s="13" t="s">
        <v>57</v>
      </c>
      <c r="B61" s="181">
        <f t="shared" si="2"/>
        <v>0.19149704716710153</v>
      </c>
      <c r="C61" s="181">
        <f t="shared" si="3"/>
        <v>0.31916174527850255</v>
      </c>
      <c r="D61" s="181"/>
      <c r="E61" s="181"/>
      <c r="F61" s="181"/>
      <c r="G61" s="181">
        <f t="shared" si="4"/>
        <v>0.1050399377967199</v>
      </c>
      <c r="H61" s="181">
        <f t="shared" si="5"/>
        <v>0.13855782225124794</v>
      </c>
      <c r="I61" s="181"/>
      <c r="J61" s="181"/>
    </row>
    <row r="62" spans="1:10" ht="12.75">
      <c r="A62" s="11"/>
      <c r="B62" s="181"/>
      <c r="C62" s="181"/>
      <c r="D62" s="181"/>
      <c r="E62" s="181"/>
      <c r="F62" s="181"/>
      <c r="G62" s="181"/>
      <c r="H62" s="181"/>
      <c r="I62" s="181"/>
      <c r="J62" s="181"/>
    </row>
    <row r="63" spans="1:10" ht="12.75">
      <c r="A63" s="12" t="s">
        <v>58</v>
      </c>
      <c r="B63" s="181"/>
      <c r="C63" s="181"/>
      <c r="D63" s="181"/>
      <c r="E63" s="181"/>
      <c r="F63" s="181"/>
      <c r="G63" s="181"/>
      <c r="H63" s="181"/>
      <c r="I63" s="181"/>
      <c r="J63" s="181"/>
    </row>
    <row r="64" spans="1:10" ht="12.75">
      <c r="A64" s="13" t="s">
        <v>59</v>
      </c>
      <c r="B64" s="181">
        <f t="shared" si="2"/>
        <v>0.36718360532294925</v>
      </c>
      <c r="C64" s="181">
        <f t="shared" si="3"/>
        <v>0.2610006221023236</v>
      </c>
      <c r="D64" s="181"/>
      <c r="E64" s="181"/>
      <c r="F64" s="181"/>
      <c r="G64" s="181">
        <f t="shared" si="4"/>
        <v>0.2713434057341389</v>
      </c>
      <c r="H64" s="181">
        <f t="shared" si="5"/>
        <v>0.39647593774534506</v>
      </c>
      <c r="I64" s="181"/>
      <c r="J64" s="181"/>
    </row>
    <row r="65" spans="1:10" ht="12.75">
      <c r="A65" s="13" t="s">
        <v>60</v>
      </c>
      <c r="B65" s="181">
        <f t="shared" si="2"/>
        <v>3.4071268863359494</v>
      </c>
      <c r="C65" s="181">
        <f t="shared" si="3"/>
        <v>9.029523396679474</v>
      </c>
      <c r="D65" s="181"/>
      <c r="E65" s="181"/>
      <c r="F65" s="181"/>
      <c r="G65" s="181">
        <f t="shared" si="4"/>
        <v>-2.1663353143080006</v>
      </c>
      <c r="H65" s="181">
        <f t="shared" si="5"/>
        <v>-2.7282881123590665</v>
      </c>
      <c r="I65" s="181"/>
      <c r="J65" s="181"/>
    </row>
    <row r="66" spans="1:10" ht="12.75">
      <c r="A66" s="13" t="s">
        <v>61</v>
      </c>
      <c r="B66" s="181"/>
      <c r="C66" s="181"/>
      <c r="D66" s="181"/>
      <c r="E66" s="181"/>
      <c r="F66" s="181"/>
      <c r="G66" s="181"/>
      <c r="H66" s="181"/>
      <c r="I66" s="181"/>
      <c r="J66" s="181"/>
    </row>
    <row r="67" spans="1:10" ht="12.75">
      <c r="A67" s="11"/>
      <c r="B67" s="181"/>
      <c r="C67" s="181"/>
      <c r="D67" s="181"/>
      <c r="E67" s="181"/>
      <c r="F67" s="181"/>
      <c r="G67" s="181"/>
      <c r="H67" s="181"/>
      <c r="I67" s="181"/>
      <c r="J67" s="181"/>
    </row>
  </sheetData>
  <sheetProtection/>
  <mergeCells count="2">
    <mergeCell ref="G1:K1"/>
    <mergeCell ref="B1:F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0"/>
  <sheetViews>
    <sheetView zoomScalePageLayoutView="0" workbookViewId="0" topLeftCell="A1">
      <selection activeCell="L118" sqref="L118"/>
    </sheetView>
  </sheetViews>
  <sheetFormatPr defaultColWidth="8.75390625" defaultRowHeight="12.75"/>
  <sheetData>
    <row r="1" ht="12.75">
      <c r="A1" t="s">
        <v>192</v>
      </c>
    </row>
    <row r="3" spans="2:7" ht="12.75">
      <c r="B3" s="1"/>
      <c r="C3" s="1">
        <v>2006</v>
      </c>
      <c r="D3" s="1">
        <v>2005</v>
      </c>
      <c r="E3" s="1">
        <v>2004</v>
      </c>
      <c r="F3" s="1">
        <v>2003</v>
      </c>
      <c r="G3" s="1">
        <v>2002</v>
      </c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>
        <v>0.24158970899769303</v>
      </c>
      <c r="D5" s="1">
        <v>0.12116807566131722</v>
      </c>
      <c r="E5" s="1">
        <v>-0.0029349367407044695</v>
      </c>
      <c r="F5" s="1">
        <v>-0.16092200345741456</v>
      </c>
      <c r="G5" s="1">
        <v>0.14364725613240878</v>
      </c>
    </row>
    <row r="6" spans="3:7" ht="12.75">
      <c r="C6">
        <v>-0.0526953585068319</v>
      </c>
      <c r="D6">
        <v>-0.12999936765068393</v>
      </c>
      <c r="E6">
        <v>-0.16697541598551893</v>
      </c>
      <c r="F6">
        <v>-0.16465510987460225</v>
      </c>
      <c r="G6">
        <v>-0.33865734641778156</v>
      </c>
    </row>
    <row r="25" spans="1:7" ht="12.75">
      <c r="A25" t="s">
        <v>194</v>
      </c>
      <c r="C25" s="1">
        <v>2006</v>
      </c>
      <c r="D25" s="1">
        <v>2005</v>
      </c>
      <c r="E25" s="1">
        <v>2004</v>
      </c>
      <c r="F25" s="1">
        <v>2003</v>
      </c>
      <c r="G25" s="1">
        <v>2002</v>
      </c>
    </row>
    <row r="26" spans="2:7" ht="12.75">
      <c r="B26" t="s">
        <v>195</v>
      </c>
      <c r="C26">
        <v>0.004899764376715129</v>
      </c>
      <c r="D26">
        <v>0.22830431600586729</v>
      </c>
      <c r="E26">
        <v>0.14039639985928395</v>
      </c>
      <c r="F26">
        <v>0.010717924527095869</v>
      </c>
      <c r="G26">
        <v>-0.23809549169128857</v>
      </c>
    </row>
    <row r="27" spans="2:7" ht="12.75">
      <c r="B27" t="s">
        <v>196</v>
      </c>
      <c r="C27">
        <v>-0.06818962498909306</v>
      </c>
      <c r="D27">
        <v>-0.2611079434123112</v>
      </c>
      <c r="E27">
        <v>-0.3159089730126032</v>
      </c>
      <c r="F27">
        <v>-0.31153271780812325</v>
      </c>
      <c r="G27">
        <v>-1.5573933260831903</v>
      </c>
    </row>
    <row r="28" ht="12.75">
      <c r="B28" t="s">
        <v>193</v>
      </c>
    </row>
    <row r="47" spans="1:7" ht="12.75">
      <c r="A47" t="s">
        <v>197</v>
      </c>
      <c r="C47" s="1">
        <v>2006</v>
      </c>
      <c r="D47" s="1">
        <v>2005</v>
      </c>
      <c r="E47" s="1">
        <v>2004</v>
      </c>
      <c r="F47" s="1">
        <v>2003</v>
      </c>
      <c r="G47" s="1">
        <v>2002</v>
      </c>
    </row>
    <row r="48" spans="2:7" ht="12.75">
      <c r="B48" t="s">
        <v>195</v>
      </c>
      <c r="C48">
        <v>212.99999999999997</v>
      </c>
      <c r="D48">
        <v>9.166666666666668</v>
      </c>
      <c r="E48">
        <v>19.083333333333336</v>
      </c>
      <c r="F48">
        <v>75</v>
      </c>
      <c r="G48">
        <v>-3.888888888888889</v>
      </c>
    </row>
    <row r="49" spans="2:7" ht="12.75">
      <c r="B49" t="s">
        <v>196</v>
      </c>
      <c r="C49">
        <v>-17.5</v>
      </c>
      <c r="D49">
        <v>-3.875</v>
      </c>
      <c r="E49">
        <v>-1.8214285714285714</v>
      </c>
      <c r="F49">
        <v>-2.142857142857143</v>
      </c>
      <c r="G49">
        <v>-0.12820512820512822</v>
      </c>
    </row>
    <row r="70" spans="1:7" ht="12.75">
      <c r="A70" s="11" t="s">
        <v>40</v>
      </c>
      <c r="C70" s="1">
        <v>2006</v>
      </c>
      <c r="D70" s="1">
        <v>2005</v>
      </c>
      <c r="E70" s="1">
        <v>2004</v>
      </c>
      <c r="F70" s="1">
        <v>2003</v>
      </c>
      <c r="G70" s="1">
        <v>2002</v>
      </c>
    </row>
    <row r="71" spans="2:7" ht="12.75">
      <c r="B71" t="s">
        <v>195</v>
      </c>
      <c r="C71" s="177">
        <v>-11.710046963341236</v>
      </c>
      <c r="D71" s="177">
        <v>-6.324985310966726</v>
      </c>
      <c r="E71" s="177">
        <v>-55.846508478524825</v>
      </c>
      <c r="F71" s="177">
        <v>-10.405673492412452</v>
      </c>
      <c r="G71" s="177">
        <v>-8.349250238164151</v>
      </c>
    </row>
    <row r="72" spans="2:7" ht="12.75">
      <c r="B72" t="s">
        <v>196</v>
      </c>
      <c r="C72">
        <v>4.050989115772826</v>
      </c>
      <c r="D72">
        <v>-7.310696962517177</v>
      </c>
      <c r="E72">
        <v>6.743278231205764</v>
      </c>
      <c r="F72">
        <v>-28.46447660395562</v>
      </c>
      <c r="G72">
        <v>-0.7964826555693987</v>
      </c>
    </row>
    <row r="92" spans="1:7" ht="12.75">
      <c r="A92" s="11" t="s">
        <v>41</v>
      </c>
      <c r="C92" s="1">
        <v>2006</v>
      </c>
      <c r="D92" s="1">
        <v>2005</v>
      </c>
      <c r="E92" s="1">
        <v>2004</v>
      </c>
      <c r="F92" s="1">
        <v>2003</v>
      </c>
      <c r="G92" s="1">
        <v>2002</v>
      </c>
    </row>
    <row r="93" spans="2:7" ht="12.75">
      <c r="B93" t="s">
        <v>195</v>
      </c>
      <c r="C93" s="177">
        <v>-11.710046963341236</v>
      </c>
      <c r="D93" s="177">
        <v>-6.324985310966726</v>
      </c>
      <c r="E93" s="177">
        <v>-55.846508478524825</v>
      </c>
      <c r="F93" s="177">
        <v>-10.405673492412452</v>
      </c>
      <c r="G93" s="177">
        <v>-8.349250238164151</v>
      </c>
    </row>
    <row r="94" spans="2:7" ht="12.75">
      <c r="B94" t="s">
        <v>196</v>
      </c>
      <c r="C94">
        <v>4.050989115772826</v>
      </c>
      <c r="D94">
        <v>-7.310696962517177</v>
      </c>
      <c r="E94">
        <v>6.743278231205764</v>
      </c>
      <c r="F94">
        <v>-28.46447660395562</v>
      </c>
      <c r="G94">
        <v>-0.7964826555693987</v>
      </c>
    </row>
    <row r="114" spans="1:7" ht="12.75">
      <c r="A114" s="178" t="s">
        <v>48</v>
      </c>
      <c r="C114" s="1">
        <v>2006</v>
      </c>
      <c r="D114" s="1">
        <v>2005</v>
      </c>
      <c r="E114" s="1">
        <v>2004</v>
      </c>
      <c r="F114" s="1">
        <v>2003</v>
      </c>
      <c r="G114" s="1">
        <v>2002</v>
      </c>
    </row>
    <row r="115" spans="2:7" ht="12.75">
      <c r="B115" t="s">
        <v>195</v>
      </c>
      <c r="C115" s="177">
        <v>0.010122134866688465</v>
      </c>
      <c r="D115" s="177">
        <v>-0.01328539299182574</v>
      </c>
      <c r="E115" s="177">
        <v>0.01922832419796673</v>
      </c>
      <c r="F115" s="177">
        <v>0.013652861267800338</v>
      </c>
      <c r="G115" s="177">
        <v>-0.07717348823387402</v>
      </c>
    </row>
    <row r="116" spans="2:7" ht="12.75">
      <c r="B116" t="s">
        <v>196</v>
      </c>
      <c r="C116">
        <v>-0.015494266482261161</v>
      </c>
      <c r="D116">
        <v>-0.13110857576162727</v>
      </c>
      <c r="E116">
        <v>-0.14893355702708425</v>
      </c>
      <c r="F116">
        <v>-0.146877607933521</v>
      </c>
      <c r="G116">
        <v>-1.2187359796654087</v>
      </c>
    </row>
    <row r="136" ht="12.75">
      <c r="A136" s="11" t="s">
        <v>44</v>
      </c>
    </row>
    <row r="137" spans="3:7" ht="12.75">
      <c r="C137" s="1">
        <v>2006</v>
      </c>
      <c r="D137" s="1">
        <v>2005</v>
      </c>
      <c r="E137" s="1">
        <v>2004</v>
      </c>
      <c r="F137" s="1">
        <v>2003</v>
      </c>
      <c r="G137" s="1">
        <v>2002</v>
      </c>
    </row>
    <row r="138" spans="2:7" ht="12.75">
      <c r="B138" t="s">
        <v>195</v>
      </c>
      <c r="C138" s="177">
        <v>3.61094441050811</v>
      </c>
      <c r="D138" s="177">
        <v>4.16864898695458</v>
      </c>
      <c r="E138" s="177">
        <v>4.59712211209701</v>
      </c>
      <c r="F138" s="177">
        <v>4.71226901051969</v>
      </c>
      <c r="G138" s="177">
        <v>6.73815711954215</v>
      </c>
    </row>
    <row r="139" spans="2:7" ht="12.75">
      <c r="B139" t="s">
        <v>196</v>
      </c>
      <c r="C139">
        <v>6.41164908391388</v>
      </c>
      <c r="D139">
        <v>5.37808160649434</v>
      </c>
      <c r="E139">
        <v>5.89662594844751</v>
      </c>
      <c r="F139">
        <v>7.28117985773629</v>
      </c>
      <c r="G139">
        <v>9.22570198462904</v>
      </c>
    </row>
    <row r="159" spans="1:7" ht="12.75">
      <c r="A159" s="179" t="s">
        <v>47</v>
      </c>
      <c r="C159" s="1">
        <v>2006</v>
      </c>
      <c r="D159" s="1">
        <v>2005</v>
      </c>
      <c r="E159" s="1">
        <v>2004</v>
      </c>
      <c r="F159" s="1">
        <v>2003</v>
      </c>
      <c r="G159" s="1">
        <v>2002</v>
      </c>
    </row>
    <row r="160" spans="2:7" ht="12.75">
      <c r="B160" t="s">
        <v>195</v>
      </c>
      <c r="C160" s="177">
        <v>25.371349704379472</v>
      </c>
      <c r="D160" s="177">
        <v>23.703026039078026</v>
      </c>
      <c r="E160" s="177">
        <v>34.1591831489194</v>
      </c>
      <c r="F160" s="177">
        <v>35.25609898708918</v>
      </c>
      <c r="G160" s="177">
        <v>20.28978204513546</v>
      </c>
    </row>
    <row r="161" spans="2:7" ht="12.75">
      <c r="B161" t="s">
        <v>196</v>
      </c>
      <c r="C161">
        <v>9.644781969622734</v>
      </c>
      <c r="D161">
        <v>12.672007003522173</v>
      </c>
      <c r="E161">
        <v>22.636430744452397</v>
      </c>
      <c r="F161">
        <v>26.236870102042346</v>
      </c>
      <c r="G161">
        <v>23.234273701342737</v>
      </c>
    </row>
    <row r="182" spans="1:7" ht="12.75">
      <c r="A182" s="178" t="s">
        <v>45</v>
      </c>
      <c r="C182" s="1">
        <v>2006</v>
      </c>
      <c r="D182" s="1">
        <v>2005</v>
      </c>
      <c r="E182" s="1">
        <v>2004</v>
      </c>
      <c r="F182" s="1">
        <v>2003</v>
      </c>
      <c r="G182" s="1">
        <v>2002</v>
      </c>
    </row>
    <row r="183" spans="2:7" ht="12.75">
      <c r="B183" t="s">
        <v>195</v>
      </c>
      <c r="C183" s="177">
        <v>12.764940570457394</v>
      </c>
      <c r="D183" s="177">
        <v>19.13057628025754</v>
      </c>
      <c r="E183" s="177">
        <v>17.162849544811557</v>
      </c>
      <c r="F183" s="177">
        <v>8.34010618158667</v>
      </c>
      <c r="G183" s="177">
        <v>13.893520104869875</v>
      </c>
    </row>
    <row r="184" spans="2:7" ht="12.75">
      <c r="B184" t="s">
        <v>196</v>
      </c>
      <c r="C184">
        <v>41.23288375769298</v>
      </c>
      <c r="D184">
        <v>39.088258950479954</v>
      </c>
      <c r="E184">
        <v>17.041934675245578</v>
      </c>
      <c r="F184">
        <v>17.57713914763436</v>
      </c>
      <c r="G184">
        <v>15.70955067034896</v>
      </c>
    </row>
    <row r="204" spans="1:7" ht="12.75">
      <c r="A204" s="179" t="s">
        <v>46</v>
      </c>
      <c r="C204" s="1">
        <v>2006</v>
      </c>
      <c r="D204" s="1">
        <v>2005</v>
      </c>
      <c r="E204" s="1">
        <v>2004</v>
      </c>
      <c r="F204" s="1">
        <v>2003</v>
      </c>
      <c r="G204" s="1">
        <v>2002</v>
      </c>
    </row>
    <row r="205" spans="2:7" ht="12.75">
      <c r="B205" t="s">
        <v>195</v>
      </c>
      <c r="C205" s="177">
        <v>2.1077577396997946</v>
      </c>
      <c r="D205" s="177">
        <v>2.1625196584978275</v>
      </c>
      <c r="E205" s="177">
        <v>1.9912522312475065</v>
      </c>
      <c r="F205" s="177">
        <v>1.1694047032968677</v>
      </c>
      <c r="G205" s="177">
        <v>1.0366512362169609</v>
      </c>
    </row>
    <row r="206" spans="2:7" ht="12.75">
      <c r="B206" t="s">
        <v>196</v>
      </c>
      <c r="C206">
        <v>0.8234512052251322</v>
      </c>
      <c r="D206">
        <v>0.6781496123917162</v>
      </c>
      <c r="E206">
        <v>0.6430183610176908</v>
      </c>
      <c r="F206">
        <v>0.5563135467793786</v>
      </c>
      <c r="G206">
        <v>0.401914148382748</v>
      </c>
    </row>
    <row r="226" spans="1:7" ht="12.75">
      <c r="A226" s="179" t="s">
        <v>49</v>
      </c>
      <c r="C226" s="1">
        <v>2006</v>
      </c>
      <c r="D226" s="1">
        <v>2005</v>
      </c>
      <c r="E226" s="1">
        <v>2004</v>
      </c>
      <c r="F226" s="1">
        <v>2003</v>
      </c>
      <c r="G226" s="1">
        <v>2002</v>
      </c>
    </row>
    <row r="227" spans="2:7" ht="12.75">
      <c r="B227" t="s">
        <v>195</v>
      </c>
      <c r="C227" s="177">
        <v>4.187375660439955</v>
      </c>
      <c r="D227" s="177">
        <v>3.9935564956713696</v>
      </c>
      <c r="E227" s="177">
        <v>4.429657570795076</v>
      </c>
      <c r="F227" s="177">
        <v>2.21625846865843</v>
      </c>
      <c r="G227" s="177">
        <v>1.8969369292039409</v>
      </c>
    </row>
    <row r="228" spans="2:7" ht="12.75">
      <c r="B228" t="s">
        <v>196</v>
      </c>
      <c r="C228">
        <v>1.0488073495292043</v>
      </c>
      <c r="D228">
        <v>0.8318845136947774</v>
      </c>
      <c r="E228">
        <v>0.846216992481706</v>
      </c>
      <c r="F228">
        <v>0.6696187505640803</v>
      </c>
      <c r="G228">
        <v>0.4315409298873803</v>
      </c>
    </row>
    <row r="247" spans="1:7" ht="12.75">
      <c r="A247" s="11" t="s">
        <v>50</v>
      </c>
      <c r="C247" s="1">
        <v>2006</v>
      </c>
      <c r="D247" s="1">
        <v>2005</v>
      </c>
      <c r="E247" s="1">
        <v>2004</v>
      </c>
      <c r="F247" s="1">
        <v>2003</v>
      </c>
      <c r="G247" s="1">
        <v>2002</v>
      </c>
    </row>
    <row r="248" spans="2:7" ht="12.75">
      <c r="B248" t="s">
        <v>195</v>
      </c>
      <c r="C248" s="177">
        <v>5.226188816094622</v>
      </c>
      <c r="D248" s="177">
        <v>4.472578072152515</v>
      </c>
      <c r="E248" s="177">
        <v>3.7304236074728463</v>
      </c>
      <c r="F248" s="177">
        <v>2.2540146044526166</v>
      </c>
      <c r="G248" s="177">
        <v>3.670481454068504</v>
      </c>
    </row>
    <row r="249" spans="2:7" ht="12.75">
      <c r="B249" t="s">
        <v>196</v>
      </c>
      <c r="C249">
        <v>4.330958447724463</v>
      </c>
      <c r="D249">
        <v>3.5523558621039992</v>
      </c>
      <c r="E249">
        <v>3.2548711404960313</v>
      </c>
      <c r="F249">
        <v>3.6426528614234432</v>
      </c>
      <c r="G249">
        <v>4.078431454389882</v>
      </c>
    </row>
    <row r="269" spans="1:7" ht="12.75">
      <c r="A269" s="11" t="s">
        <v>51</v>
      </c>
      <c r="C269" s="1">
        <v>2006</v>
      </c>
      <c r="D269" s="1">
        <v>2005</v>
      </c>
      <c r="E269" s="1">
        <v>2004</v>
      </c>
      <c r="F269" s="1">
        <v>2003</v>
      </c>
      <c r="G269" s="1">
        <v>2002</v>
      </c>
    </row>
    <row r="270" spans="2:7" ht="12.75">
      <c r="B270" t="s">
        <v>195</v>
      </c>
      <c r="C270" s="177">
        <v>69.84056888184799</v>
      </c>
      <c r="D270" s="177">
        <v>81.6084133382912</v>
      </c>
      <c r="E270" s="177">
        <v>97.84411595209347</v>
      </c>
      <c r="F270" s="177">
        <v>161.9332897306757</v>
      </c>
      <c r="G270" s="177">
        <v>99.44199543507293</v>
      </c>
    </row>
    <row r="271" spans="2:7" ht="12.75">
      <c r="B271" t="s">
        <v>196</v>
      </c>
      <c r="C271">
        <v>84.27695726145222</v>
      </c>
      <c r="D271">
        <v>102.7487149848261</v>
      </c>
      <c r="E271">
        <v>112.13961605385559</v>
      </c>
      <c r="F271">
        <v>100.20169746764411</v>
      </c>
      <c r="G271">
        <v>89.4951905118147</v>
      </c>
    </row>
    <row r="291" spans="1:7" ht="12.75">
      <c r="A291" s="11" t="s">
        <v>52</v>
      </c>
      <c r="C291" s="1">
        <v>2006</v>
      </c>
      <c r="D291" s="1">
        <v>2005</v>
      </c>
      <c r="E291" s="1">
        <v>2004</v>
      </c>
      <c r="F291" s="1">
        <v>2003</v>
      </c>
      <c r="G291" s="1">
        <v>2002</v>
      </c>
    </row>
    <row r="292" spans="2:7" ht="12.75">
      <c r="B292" t="s">
        <v>195</v>
      </c>
      <c r="C292" s="177">
        <v>-14.250169630599782</v>
      </c>
      <c r="D292" s="177">
        <v>0.7302713087035065</v>
      </c>
      <c r="E292" s="177">
        <v>-0.8311166339206743</v>
      </c>
      <c r="F292" s="177">
        <v>18.097165596807773</v>
      </c>
      <c r="G292" s="177">
        <v>-0.3826662856289121</v>
      </c>
    </row>
    <row r="293" spans="2:7" ht="12.75">
      <c r="B293" t="s">
        <v>196</v>
      </c>
      <c r="C293">
        <v>-3.2501430777371043</v>
      </c>
      <c r="D293">
        <v>0.5003580252182531</v>
      </c>
      <c r="E293">
        <v>-0.27469417364485466</v>
      </c>
      <c r="F293">
        <v>0.12483890782516531</v>
      </c>
      <c r="G293">
        <v>0.6925403857173705</v>
      </c>
    </row>
    <row r="313" spans="1:7" ht="12.75">
      <c r="A313" s="13" t="s">
        <v>55</v>
      </c>
      <c r="C313" s="1">
        <v>2006</v>
      </c>
      <c r="D313" s="1">
        <v>2005</v>
      </c>
      <c r="E313" s="1">
        <v>2004</v>
      </c>
      <c r="F313" s="1">
        <v>2003</v>
      </c>
      <c r="G313" s="1">
        <v>2002</v>
      </c>
    </row>
    <row r="314" spans="2:7" ht="12.75">
      <c r="B314" t="s">
        <v>195</v>
      </c>
      <c r="C314" s="177">
        <v>2.3156525763511446</v>
      </c>
      <c r="D314" s="177">
        <v>1.553255265049584</v>
      </c>
      <c r="E314" s="177">
        <v>2.623997261678365</v>
      </c>
      <c r="F314" s="177">
        <v>0.48516249790249955</v>
      </c>
      <c r="G314" s="177">
        <v>0.4845290072507577</v>
      </c>
    </row>
    <row r="315" spans="2:7" ht="12.75">
      <c r="B315" t="s">
        <v>196</v>
      </c>
      <c r="C315">
        <v>1.1780573023500402</v>
      </c>
      <c r="D315">
        <v>1.0763718623569845</v>
      </c>
      <c r="E315">
        <v>0.42504517930941954</v>
      </c>
      <c r="F315">
        <v>0.3897288036617517</v>
      </c>
      <c r="G315">
        <v>0.08300586534803893</v>
      </c>
    </row>
    <row r="335" spans="1:7" ht="12.75">
      <c r="A335" s="13" t="s">
        <v>56</v>
      </c>
      <c r="C335" s="1">
        <v>2006</v>
      </c>
      <c r="D335" s="1">
        <v>2005</v>
      </c>
      <c r="E335" s="1">
        <v>2004</v>
      </c>
      <c r="F335" s="1">
        <v>2003</v>
      </c>
      <c r="G335" s="1">
        <v>2002</v>
      </c>
    </row>
    <row r="336" spans="2:7" ht="12.75">
      <c r="B336" t="s">
        <v>195</v>
      </c>
      <c r="C336" s="177">
        <v>0.5281298631103413</v>
      </c>
      <c r="D336" s="177">
        <v>0.6271615363442745</v>
      </c>
      <c r="E336" s="177">
        <v>1.411561808623716</v>
      </c>
      <c r="F336" s="177">
        <v>0.08401453805687556</v>
      </c>
      <c r="G336" s="177">
        <v>0.1066197053173852</v>
      </c>
    </row>
    <row r="337" spans="2:7" ht="12.75">
      <c r="B337" t="s">
        <v>196</v>
      </c>
      <c r="C337">
        <v>0.7975675406912756</v>
      </c>
      <c r="D337">
        <v>0.5962604950624266</v>
      </c>
      <c r="E337">
        <v>0.23516862007995903</v>
      </c>
      <c r="F337">
        <v>0.17741171949470574</v>
      </c>
      <c r="G337">
        <v>0.02091464481838469</v>
      </c>
    </row>
    <row r="356" spans="1:7" ht="12.75">
      <c r="A356" s="13" t="s">
        <v>57</v>
      </c>
      <c r="C356" s="1">
        <v>2006</v>
      </c>
      <c r="D356" s="1">
        <v>2005</v>
      </c>
      <c r="E356" s="1">
        <v>2004</v>
      </c>
      <c r="F356" s="1">
        <v>2003</v>
      </c>
      <c r="G356" s="1">
        <v>2002</v>
      </c>
    </row>
    <row r="357" spans="2:7" ht="12.75">
      <c r="B357" t="s">
        <v>195</v>
      </c>
      <c r="C357" s="177">
        <v>0.01075654342076537</v>
      </c>
      <c r="D357" s="177">
        <v>0.08465666612330411</v>
      </c>
      <c r="E357" s="177">
        <v>0.8620720262914382</v>
      </c>
      <c r="F357" s="177">
        <v>0</v>
      </c>
      <c r="G357" s="177">
        <v>0</v>
      </c>
    </row>
    <row r="358" spans="2:7" ht="12.75">
      <c r="B358" t="s">
        <v>196</v>
      </c>
      <c r="C358">
        <v>0.19413155708071173</v>
      </c>
      <c r="D358">
        <v>0.07565667551224606</v>
      </c>
      <c r="E358">
        <v>0.14588523416078605</v>
      </c>
      <c r="F358">
        <v>0.10952622222985564</v>
      </c>
      <c r="G358">
        <v>0</v>
      </c>
    </row>
    <row r="377" spans="1:7" ht="12.75">
      <c r="A377" s="179" t="s">
        <v>59</v>
      </c>
      <c r="C377" s="1">
        <v>2006</v>
      </c>
      <c r="D377" s="1">
        <v>2005</v>
      </c>
      <c r="E377" s="1">
        <v>2004</v>
      </c>
      <c r="F377" s="1">
        <v>2003</v>
      </c>
      <c r="G377" s="1">
        <v>2002</v>
      </c>
    </row>
    <row r="378" spans="2:7" ht="12.75">
      <c r="B378" t="s">
        <v>195</v>
      </c>
      <c r="C378" s="177">
        <v>0.25332191154055844</v>
      </c>
      <c r="D378" s="177">
        <v>0.27577087260881705</v>
      </c>
      <c r="E378" s="177">
        <v>0.2539090821575952</v>
      </c>
      <c r="F378" s="177">
        <v>0.5173561012552266</v>
      </c>
      <c r="G378" s="177">
        <v>0.535560059052549</v>
      </c>
    </row>
    <row r="379" spans="2:7" ht="12.75">
      <c r="B379" t="s">
        <v>196</v>
      </c>
      <c r="C379">
        <v>0.48798347430397787</v>
      </c>
      <c r="D379">
        <v>0.5023507505378048</v>
      </c>
      <c r="E379">
        <v>0.19909358839425267</v>
      </c>
      <c r="F379">
        <v>0.1555355945278213</v>
      </c>
      <c r="G379">
        <v>0.011753620906837944</v>
      </c>
    </row>
    <row r="398" spans="1:7" ht="12.75">
      <c r="A398" s="13" t="s">
        <v>60</v>
      </c>
      <c r="C398" s="1">
        <v>2006</v>
      </c>
      <c r="D398" s="1">
        <v>2005</v>
      </c>
      <c r="E398" s="1">
        <v>2004</v>
      </c>
      <c r="F398" s="1">
        <v>2003</v>
      </c>
      <c r="G398" s="1">
        <v>2002</v>
      </c>
    </row>
    <row r="399" spans="2:7" ht="12.75">
      <c r="B399" t="s">
        <v>195</v>
      </c>
      <c r="C399" s="177">
        <v>2.11337663343771</v>
      </c>
      <c r="D399" s="177">
        <v>13.136431379082113</v>
      </c>
      <c r="E399" s="177">
        <v>11.838762177518603</v>
      </c>
      <c r="F399" s="177">
        <v>1.4312535363407233</v>
      </c>
      <c r="G399" s="177">
        <v>-11.484189294699402</v>
      </c>
    </row>
    <row r="400" spans="2:7" ht="12.75">
      <c r="B400" t="s">
        <v>196</v>
      </c>
      <c r="C400">
        <v>0.15969184980854037</v>
      </c>
      <c r="D400">
        <v>-2.706719867817405</v>
      </c>
      <c r="E400">
        <v>-5.6378363190683345</v>
      </c>
      <c r="F400">
        <v>-0.784222289078953</v>
      </c>
      <c r="G400">
        <v>-1.8625899453838517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Teeuwsen</dc:creator>
  <cp:keywords/>
  <dc:description/>
  <cp:lastModifiedBy>Sam</cp:lastModifiedBy>
  <cp:lastPrinted>2007-11-20T19:55:12Z</cp:lastPrinted>
  <dcterms:created xsi:type="dcterms:W3CDTF">2007-10-20T21:33:45Z</dcterms:created>
  <dcterms:modified xsi:type="dcterms:W3CDTF">2007-11-25T20:24:46Z</dcterms:modified>
  <cp:category/>
  <cp:version/>
  <cp:contentType/>
  <cp:contentStatus/>
</cp:coreProperties>
</file>