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tabRatio="769" activeTab="3"/>
  </bookViews>
  <sheets>
    <sheet name="ICN Financial Statements" sheetId="1" r:id="rId1"/>
    <sheet name="ICN Ratios" sheetId="2" r:id="rId2"/>
    <sheet name="Merck Financial Statements" sheetId="3" r:id="rId3"/>
    <sheet name="Merck Ratios" sheetId="4" r:id="rId4"/>
  </sheets>
  <definedNames>
    <definedName name="_xlnm.Print_Area" localSheetId="0">'ICN Financial Statements'!$A$1:$O$204</definedName>
    <definedName name="_xlnm.Print_Area" localSheetId="1">'ICN Ratios'!$A$1:$I$83</definedName>
    <definedName name="_xlnm.Print_Area" localSheetId="2">'Merck Financial Statements'!$A$1:$O$164</definedName>
    <definedName name="_xlnm.Print_Area" localSheetId="3">'Merck Ratios'!$A$1:$I$81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<sst xmlns="http://schemas.openxmlformats.org/spreadsheetml/2006/main" count="537" uniqueCount="326">
  <si>
    <t>%-change</t>
  </si>
  <si>
    <t>-</t>
  </si>
  <si>
    <t>2000-2001</t>
  </si>
  <si>
    <t>1999-2000</t>
  </si>
  <si>
    <t>Total liabilities and stockholder's equity</t>
  </si>
  <si>
    <t>Current Assets:</t>
  </si>
  <si>
    <t>Cash and cash equivalents</t>
  </si>
  <si>
    <t>Restricted cash</t>
  </si>
  <si>
    <t>Accounts receivable, net</t>
  </si>
  <si>
    <t>Inventories, net</t>
  </si>
  <si>
    <t>Prepaid expenses and other current assets</t>
  </si>
  <si>
    <t>Total current assets</t>
  </si>
  <si>
    <t>Property, plant and equipment, net</t>
  </si>
  <si>
    <t>Deferred income taxes, net</t>
  </si>
  <si>
    <t>Other assets</t>
  </si>
  <si>
    <t>Goodwill and intangibles, net</t>
  </si>
  <si>
    <t>Current Liabilities:</t>
  </si>
  <si>
    <t>Trade payables</t>
  </si>
  <si>
    <t>Accrued liabilities</t>
  </si>
  <si>
    <t>Notes payable and current portion of long term debt</t>
  </si>
  <si>
    <t>Income taxes payable</t>
  </si>
  <si>
    <t>Total current liabilities</t>
  </si>
  <si>
    <t>Long-term debt, less current portion</t>
  </si>
  <si>
    <t>Deferred income taxes and other liabilities</t>
  </si>
  <si>
    <t>Minority interest</t>
  </si>
  <si>
    <t>Commitments and contingencies</t>
  </si>
  <si>
    <t>Stockholders' Equity:</t>
  </si>
  <si>
    <t>Common stock, $.01 par value; 200,000 shares authorized;</t>
  </si>
  <si>
    <t>81,689 (2001)and 80,197 (2000) shares issued and outstanding</t>
  </si>
  <si>
    <t>(after deducting shares in treasury of 814 and 814, respectively)</t>
  </si>
  <si>
    <t>Additional capital</t>
  </si>
  <si>
    <t>Accumulated Deficit</t>
  </si>
  <si>
    <t>Accumulated other comprehensive income</t>
  </si>
  <si>
    <t>Total stockholders' equity</t>
  </si>
  <si>
    <t>Revenues:</t>
  </si>
  <si>
    <t>Product sales</t>
  </si>
  <si>
    <t>Royalties</t>
  </si>
  <si>
    <t>Total revenues</t>
  </si>
  <si>
    <t>Costs and expenses:</t>
  </si>
  <si>
    <t>Cost of product sales</t>
  </si>
  <si>
    <t>Selling, general and administrative expenses</t>
  </si>
  <si>
    <t>Research and development costs</t>
  </si>
  <si>
    <t>Amortization of Goodwill and Intangibles</t>
  </si>
  <si>
    <t>Total expenses</t>
  </si>
  <si>
    <t>Income (loss) from operations</t>
  </si>
  <si>
    <t>Other (income) loss, net, including translation and exchange</t>
  </si>
  <si>
    <t>Interest income</t>
  </si>
  <si>
    <t>Interest expense</t>
  </si>
  <si>
    <t>Income before income taxes and minority interest and extraordinary loss</t>
  </si>
  <si>
    <t>Provision for income taxes</t>
  </si>
  <si>
    <t>Income before extraordinary loss</t>
  </si>
  <si>
    <t>Extraordinary loss (net of taxes)</t>
  </si>
  <si>
    <t>Net income</t>
  </si>
  <si>
    <t>Basic Earnings per share:</t>
  </si>
  <si>
    <t xml:space="preserve">  Income per share before extraordinary loss</t>
  </si>
  <si>
    <t xml:space="preserve">  Extraordinary loss per share</t>
  </si>
  <si>
    <t xml:space="preserve">  Basic net income per share</t>
  </si>
  <si>
    <t>Diluted Earnings Per Share:</t>
  </si>
  <si>
    <t>Shares used in per share computation:</t>
  </si>
  <si>
    <t xml:space="preserve">  Basic</t>
  </si>
  <si>
    <t xml:space="preserve">  Diluted</t>
  </si>
  <si>
    <t>Net income (loss)</t>
  </si>
  <si>
    <t>Adjustments to reconcile net income (loss) to net cash</t>
  </si>
  <si>
    <t>provided by (used in) operating activities:</t>
  </si>
  <si>
    <t>Depreciation and amortization</t>
  </si>
  <si>
    <t>Provision for losses on accounts receivable</t>
  </si>
  <si>
    <t>Provision for inventory obsolescence</t>
  </si>
  <si>
    <t>Translation and exchange losses, net</t>
  </si>
  <si>
    <t>Deferred income</t>
  </si>
  <si>
    <t>Loss on sale of assets</t>
  </si>
  <si>
    <t>Deferred income taxes</t>
  </si>
  <si>
    <t>Other non-cash gains</t>
  </si>
  <si>
    <t>Extraordinary loss</t>
  </si>
  <si>
    <t>Change in assets and liabilities, net of effects of acquisitions:</t>
  </si>
  <si>
    <t>Accounts and notes receivable</t>
  </si>
  <si>
    <t>Inventories</t>
  </si>
  <si>
    <t>Prepaid expenses and other assets</t>
  </si>
  <si>
    <t>Trade payables and accrued liabilities</t>
  </si>
  <si>
    <t>Other liabilities</t>
  </si>
  <si>
    <t>Net cash provided by operating activities</t>
  </si>
  <si>
    <t>Capital expenditures</t>
  </si>
  <si>
    <t>Acquisition of license rights, product lines and businesses</t>
  </si>
  <si>
    <t>Proceeds from sale of assets</t>
  </si>
  <si>
    <t>(Increase) decrease in restricted cash</t>
  </si>
  <si>
    <t>Cash acquired in connection with acquisitions</t>
  </si>
  <si>
    <t>Termination of joint venture</t>
  </si>
  <si>
    <t>Net cash used in investing activities</t>
  </si>
  <si>
    <t>Proceeds from issuance of long-term debt</t>
  </si>
  <si>
    <t>Proceeds from issuance of notes payable</t>
  </si>
  <si>
    <t>Proceeds from exercise of stock options</t>
  </si>
  <si>
    <t>Proceeds from issuance of common stock</t>
  </si>
  <si>
    <t>Payments on long-term debt</t>
  </si>
  <si>
    <t>Payments on notes payables</t>
  </si>
  <si>
    <t>Dividends paid</t>
  </si>
  <si>
    <t>Purchase of treasury stock</t>
  </si>
  <si>
    <t>Repurchase of preferred stock</t>
  </si>
  <si>
    <t>Net cash provided by (used in) financing activities</t>
  </si>
  <si>
    <t>Effect of exchange rate changes on cash and cash equivalents</t>
  </si>
  <si>
    <t>Net increase (decrease) in cash and cash equivalents</t>
  </si>
  <si>
    <t>Cash and cash equivalents at beginning of year</t>
  </si>
  <si>
    <t>Cash and cash equivalents at end of year</t>
  </si>
  <si>
    <t>Total assets</t>
  </si>
  <si>
    <t>n/a</t>
  </si>
  <si>
    <t>Comprehensive income:</t>
  </si>
  <si>
    <t>Foreign currency translation adjustments</t>
  </si>
  <si>
    <t>Total comprehensive income</t>
  </si>
  <si>
    <t>Exercise of stock options</t>
  </si>
  <si>
    <t>Tax benefit of stock options exercised</t>
  </si>
  <si>
    <t>Stock compensation</t>
  </si>
  <si>
    <t>Settlement related to acquisition contingency</t>
  </si>
  <si>
    <t>Issuance of common stock:</t>
  </si>
  <si>
    <t xml:space="preserve">  In connection with license agreements</t>
  </si>
  <si>
    <t xml:space="preserve">  In connection with acquisitions</t>
  </si>
  <si>
    <t>Cash dividends</t>
  </si>
  <si>
    <t>Tax benefit of stock options</t>
  </si>
  <si>
    <t>Redemption of common stock</t>
  </si>
  <si>
    <t>Issuance of common stock in connection with acquisitions</t>
  </si>
  <si>
    <t>Dividends declared</t>
  </si>
  <si>
    <t>ICN Pharmaceuticals, Inc.</t>
  </si>
  <si>
    <t>Consolidated Balance Sheets</t>
  </si>
  <si>
    <t>December 31, 2001 and 2000</t>
  </si>
  <si>
    <t>($ in thousands)</t>
  </si>
  <si>
    <t>($ in thousands, except per share data)</t>
  </si>
  <si>
    <t>Consolidated Statements of Income</t>
  </si>
  <si>
    <t>For the Years Ended December 31, 2001, 2000, and 1999</t>
  </si>
  <si>
    <t>Consolidated Statements of Cash Flows</t>
  </si>
  <si>
    <t>Consolidated Statements of Stockholders' Equity</t>
  </si>
  <si>
    <t>Liabilities and Stockholders' Equity</t>
  </si>
  <si>
    <t>Assets</t>
  </si>
  <si>
    <t>Cash Flows from Operating Activities:</t>
  </si>
  <si>
    <t>Cash Flows from Investing Activities:</t>
  </si>
  <si>
    <t>Cash Flows from Financing Activities:</t>
  </si>
  <si>
    <t>Balance at December 31, 1998</t>
  </si>
  <si>
    <t>Balance at December 31, 1999</t>
  </si>
  <si>
    <t>Balance at December 31, 2000</t>
  </si>
  <si>
    <t>Balance at December 31, 2001</t>
  </si>
  <si>
    <t>Best</t>
  </si>
  <si>
    <t>Forecast</t>
  </si>
  <si>
    <t>Expected</t>
  </si>
  <si>
    <t>Worst</t>
  </si>
  <si>
    <t>Common-size</t>
  </si>
  <si>
    <t>Shares</t>
  </si>
  <si>
    <t>Amount</t>
  </si>
  <si>
    <t>Capital</t>
  </si>
  <si>
    <t>Total</t>
  </si>
  <si>
    <t>Preferred Stock</t>
  </si>
  <si>
    <t>Common Stock</t>
  </si>
  <si>
    <t>Additional</t>
  </si>
  <si>
    <t>Earnings</t>
  </si>
  <si>
    <t>Retained</t>
  </si>
  <si>
    <t>(Deficit)</t>
  </si>
  <si>
    <t>Accumulated</t>
  </si>
  <si>
    <t>Other</t>
  </si>
  <si>
    <t>Comprehensive</t>
  </si>
  <si>
    <t>Income</t>
  </si>
  <si>
    <t>Ratios for ICN</t>
  </si>
  <si>
    <t>For The Year/</t>
  </si>
  <si>
    <t>Year-Ended</t>
  </si>
  <si>
    <t>Net Income</t>
  </si>
  <si>
    <t>Total Assets</t>
  </si>
  <si>
    <t>N/A</t>
  </si>
  <si>
    <t>Restricted Cash</t>
  </si>
  <si>
    <t>Accounts Receivable</t>
  </si>
  <si>
    <t>Inventory</t>
  </si>
  <si>
    <t>Sales</t>
  </si>
  <si>
    <t>Stockholder's Equity (1999 number from Consolidated statement S/H Equity)</t>
  </si>
  <si>
    <t>Purchases</t>
  </si>
  <si>
    <t>Calculation</t>
  </si>
  <si>
    <t>Current Ratio</t>
  </si>
  <si>
    <t>Quick Ratio</t>
  </si>
  <si>
    <t>Return on assets</t>
  </si>
  <si>
    <t>Profit Margin (1)</t>
  </si>
  <si>
    <t>EBIT/Sales</t>
  </si>
  <si>
    <t>Return on Equity</t>
  </si>
  <si>
    <t>Gross Margin</t>
  </si>
  <si>
    <t>Days inventory held</t>
  </si>
  <si>
    <t>(1)  Tax effect of extraordinary loss ignored.</t>
  </si>
  <si>
    <t>Ratio Components</t>
  </si>
  <si>
    <t>Current Assets</t>
  </si>
  <si>
    <t>Current Liabilities</t>
  </si>
  <si>
    <t>Interest Expense</t>
  </si>
  <si>
    <t>Taxes Expense</t>
  </si>
  <si>
    <t>Cost of Goods Sold</t>
  </si>
  <si>
    <t>Total Liabilities</t>
  </si>
  <si>
    <t>Cash Flow from Operations</t>
  </si>
  <si>
    <t>Total Asset Turnover</t>
  </si>
  <si>
    <t>Inventory Turnover</t>
  </si>
  <si>
    <t>Accounts Receivable Turnover</t>
  </si>
  <si>
    <t>Days Accounts Receivable Outstanding</t>
  </si>
  <si>
    <t>Accounts Payable Turnover</t>
  </si>
  <si>
    <t>Days Accounts Payable Outstanding</t>
  </si>
  <si>
    <t>N/A - Information not available in the ICN annual report.</t>
  </si>
  <si>
    <t>Liquid Assets/Current Liabilities</t>
  </si>
  <si>
    <t>Net Income/Average Total Assets</t>
  </si>
  <si>
    <t>Net Income/Average Total Equity</t>
  </si>
  <si>
    <t>(Sales-Cost of Goods Sold)/Sales</t>
  </si>
  <si>
    <t>Sales/Average Total Assets</t>
  </si>
  <si>
    <t>Cost of Goods Sold/Average Inventory</t>
  </si>
  <si>
    <t>365/Inventory Turnover</t>
  </si>
  <si>
    <t>Sales/Average Accounts Receivable</t>
  </si>
  <si>
    <t>365/Accounts Receivable Turnover</t>
  </si>
  <si>
    <t>Purchases/Average Trade Payables</t>
  </si>
  <si>
    <t>365/Accounts Payable Turnover</t>
  </si>
  <si>
    <t>Cash flows from Operations/Average Current Liabilities</t>
  </si>
  <si>
    <t>Cash Flows from Operations/Total Liabilities</t>
  </si>
  <si>
    <t>Trade Payables</t>
  </si>
  <si>
    <t>Numbers Taken from ICN Annual Report</t>
  </si>
  <si>
    <t>Current Assets/Current Liabilities</t>
  </si>
  <si>
    <t>Cash Flows from Operations to Current Liabilities</t>
  </si>
  <si>
    <t>Cash Flows from Operations to Total Liabilities</t>
  </si>
  <si>
    <t>Ratio</t>
  </si>
  <si>
    <t>Consolidated Balance Sheet</t>
  </si>
  <si>
    <t>Merck &amp; Co., Inc. and Subsidiaries</t>
  </si>
  <si>
    <t>($ in millions)</t>
  </si>
  <si>
    <t>Assets:</t>
  </si>
  <si>
    <t xml:space="preserve">Cash and cash equivalents              </t>
  </si>
  <si>
    <t xml:space="preserve">Short-term investments               </t>
  </si>
  <si>
    <t xml:space="preserve">Accounts receivable                </t>
  </si>
  <si>
    <t xml:space="preserve">Inventories                  </t>
  </si>
  <si>
    <t xml:space="preserve">Prepaid expenses and taxes             </t>
  </si>
  <si>
    <t xml:space="preserve">Total current assets               </t>
  </si>
  <si>
    <t xml:space="preserve">Investments                  </t>
  </si>
  <si>
    <t>Property, Plant and Equipment (at cost)</t>
  </si>
  <si>
    <t xml:space="preserve">Land                     </t>
  </si>
  <si>
    <t xml:space="preserve">Buildings                    </t>
  </si>
  <si>
    <t xml:space="preserve">Machinery, equipment and office furnishings        </t>
  </si>
  <si>
    <t xml:space="preserve">Construction in progress               </t>
  </si>
  <si>
    <t>Total PP&amp;E</t>
  </si>
  <si>
    <t xml:space="preserve">Less allowance for depreciation            </t>
  </si>
  <si>
    <t>Net PP&amp;E</t>
  </si>
  <si>
    <t>Goodwill and Other Intangibles (net of accumulated amortization</t>
  </si>
  <si>
    <t xml:space="preserve">of $2,224.4 million in 2001 and $1,850.7 million in 2000) </t>
  </si>
  <si>
    <t xml:space="preserve">Other Assets                   </t>
  </si>
  <si>
    <t>Liabilities and Stockholders' Equity:</t>
  </si>
  <si>
    <t xml:space="preserve">Accounts payable and accrued liabilities         </t>
  </si>
  <si>
    <t xml:space="preserve">Loans payable and current portion of long-term debt      </t>
  </si>
  <si>
    <t xml:space="preserve">Income taxes payable               </t>
  </si>
  <si>
    <t xml:space="preserve">Dividends payable                </t>
  </si>
  <si>
    <t xml:space="preserve">Total current liabilities              </t>
  </si>
  <si>
    <t xml:space="preserve">Long-Term Debt                 </t>
  </si>
  <si>
    <t xml:space="preserve">Deferred Income Taxes and Noncurrent Liabilities       </t>
  </si>
  <si>
    <t xml:space="preserve">Minority Interests                 </t>
  </si>
  <si>
    <t>Stockholders' Equity</t>
  </si>
  <si>
    <t>Common stock, one cent par value</t>
  </si>
  <si>
    <t>Authorized - 5,400,000,000 shares</t>
  </si>
  <si>
    <t>Issued - 2,976,129,820 shares - 2001</t>
  </si>
  <si>
    <t>Issued - 2,968,355,365 shares - 2000</t>
  </si>
  <si>
    <t xml:space="preserve">Other paid-in capital                </t>
  </si>
  <si>
    <t xml:space="preserve">Retained earnings                </t>
  </si>
  <si>
    <t xml:space="preserve">Accumulated other comprehensive (loss) income        </t>
  </si>
  <si>
    <t>Total stockholder's equity before treasury stock:</t>
  </si>
  <si>
    <t>Less treasury stock, at cost</t>
  </si>
  <si>
    <t>703,400,499 shares - 2001</t>
  </si>
  <si>
    <t>660,756,186 shares - 2000</t>
  </si>
  <si>
    <t xml:space="preserve">Total stockholders' equity             </t>
  </si>
  <si>
    <t>Consolidated Statement of Income</t>
  </si>
  <si>
    <t>Years Ended December 31</t>
  </si>
  <si>
    <t>($ in millions except per share amounts)</t>
  </si>
  <si>
    <t xml:space="preserve">Sales                 </t>
  </si>
  <si>
    <t>Costs, Expenses and Other</t>
  </si>
  <si>
    <t xml:space="preserve">Materials and production            </t>
  </si>
  <si>
    <t xml:space="preserve">Marketing and administrative          </t>
  </si>
  <si>
    <t xml:space="preserve">Research and development            </t>
  </si>
  <si>
    <t xml:space="preserve">Equity income from affiliates         </t>
  </si>
  <si>
    <t xml:space="preserve">Other (income) expense, net           </t>
  </si>
  <si>
    <t>Total costs expenses and other</t>
  </si>
  <si>
    <t xml:space="preserve">Income Before Taxes             </t>
  </si>
  <si>
    <t xml:space="preserve">Taxes on Income               </t>
  </si>
  <si>
    <t xml:space="preserve">Net Income                </t>
  </si>
  <si>
    <t xml:space="preserve">Basic Earnings per Common Share         </t>
  </si>
  <si>
    <t xml:space="preserve">Earnings per Common Share Assuming Dilution     </t>
  </si>
  <si>
    <t>Consolidated Statement of Retained Earnings</t>
  </si>
  <si>
    <t xml:space="preserve">Balance, January 1              </t>
  </si>
  <si>
    <t xml:space="preserve">Common Stock Dividends Declared         </t>
  </si>
  <si>
    <t xml:space="preserve">Balance, December 31            </t>
  </si>
  <si>
    <t>Consolidated Statement of Comprehensive Income</t>
  </si>
  <si>
    <t>Other Comprehensive Income (Loss)</t>
  </si>
  <si>
    <t>Net unrealized gain on derivatives,</t>
  </si>
  <si>
    <t xml:space="preserve">net of tax and net income realization      </t>
  </si>
  <si>
    <t>Net unrealized loss on investments,</t>
  </si>
  <si>
    <t xml:space="preserve">Minimum pension liability, net of tax       </t>
  </si>
  <si>
    <t>Total other comprehensive income (loss)</t>
  </si>
  <si>
    <t xml:space="preserve">Comprehensive Income            </t>
  </si>
  <si>
    <t>Consolidated Statement of Cash Flows</t>
  </si>
  <si>
    <t>Merck &amp; Co , Inc  and Subsidiaries</t>
  </si>
  <si>
    <t>Cash Flows from Operating Activities</t>
  </si>
  <si>
    <t xml:space="preserve">Income before taxes                 </t>
  </si>
  <si>
    <t>Adjustments to reconcile income before taxes to cash</t>
  </si>
  <si>
    <t>provided from operations before taxes:</t>
  </si>
  <si>
    <t xml:space="preserve">Depreciation and amortization              </t>
  </si>
  <si>
    <t xml:space="preserve">Other                      </t>
  </si>
  <si>
    <t>Net changes in assets and liabilities:</t>
  </si>
  <si>
    <t xml:space="preserve">Noncurrent liabilities               </t>
  </si>
  <si>
    <t xml:space="preserve">Other                    </t>
  </si>
  <si>
    <t xml:space="preserve">Cash Provided by Operating Activities Before Taxes        </t>
  </si>
  <si>
    <t xml:space="preserve">Income Taxes Paid                   </t>
  </si>
  <si>
    <t xml:space="preserve">Net Cash Provided by Operating Activities           </t>
  </si>
  <si>
    <t>Cash Flows from Investing Activities</t>
  </si>
  <si>
    <t xml:space="preserve">Capital expenditures                  </t>
  </si>
  <si>
    <t xml:space="preserve">Purchase of securities, subsidiaries and other investments    </t>
  </si>
  <si>
    <t xml:space="preserve">Proceeds from sale of securities, subsidiaries and other investments        </t>
  </si>
  <si>
    <t>Proceeds from relinquishment of certain AstraZeneca product rights</t>
  </si>
  <si>
    <t xml:space="preserve">Other                       </t>
  </si>
  <si>
    <t xml:space="preserve">Net Cash Used by Investing Activities           </t>
  </si>
  <si>
    <t>Cash Flows from Financing Activities</t>
  </si>
  <si>
    <t xml:space="preserve">Net change in short-term borrowings             </t>
  </si>
  <si>
    <t xml:space="preserve">Proceeds from issuance of debt              </t>
  </si>
  <si>
    <t xml:space="preserve">Payments on debt                  </t>
  </si>
  <si>
    <t>Proceeds from issuance of preferred units of subsidiary</t>
  </si>
  <si>
    <t xml:space="preserve">Purchase of treasury stock                </t>
  </si>
  <si>
    <t xml:space="preserve">Dividends paid to stockholders              </t>
  </si>
  <si>
    <t xml:space="preserve">Proceeds from exercise of stock options           </t>
  </si>
  <si>
    <t xml:space="preserve">Net Cash Used by Financing Activities           </t>
  </si>
  <si>
    <t xml:space="preserve">Effect of Exchange Rate Changes on Cash and Cash Equivalents    </t>
  </si>
  <si>
    <t xml:space="preserve">Net Increase (Decrease) in Cash and Cash Equivalents      </t>
  </si>
  <si>
    <t xml:space="preserve">Cash and Cash Equivalents at Beginning of Year        </t>
  </si>
  <si>
    <t xml:space="preserve">Cash and Cash Equivalents at End of Year          </t>
  </si>
  <si>
    <t>Ratios for Merck</t>
  </si>
  <si>
    <t>Numbers Taken from Merck Annual Report</t>
  </si>
  <si>
    <t>Short-term Investments</t>
  </si>
  <si>
    <t>Interest Expense (Information from Footnote 14)</t>
  </si>
  <si>
    <t>Stockholder's Equity</t>
  </si>
  <si>
    <t>Accounts Payable (&amp;Accrued Liabilities) (1)</t>
  </si>
  <si>
    <t>Profit Margin</t>
  </si>
  <si>
    <t>(1)  Used as accounts payable number for the purposes of computing the accounts payable turnover ratio.</t>
  </si>
  <si>
    <t>Source: Data derived from ICN Pharmaceuticals Inc., 2001 Annual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</si>
</sst>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0.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55"/>
      <name val="Times New Roman"/>
      <family val="1"/>
    </font>
    <font>
      <sz val="8"/>
      <color indexed="6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6" fontId="0" fillId="0" borderId="0" xfId="0" applyNumberFormat="1" applyAlignment="1">
      <alignment/>
    </xf>
    <xf numFmtId="4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 indent="1"/>
    </xf>
    <xf numFmtId="43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0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right"/>
    </xf>
    <xf numFmtId="41" fontId="0" fillId="0" borderId="0" xfId="0" applyNumberFormat="1" applyAlignment="1">
      <alignment horizontal="right"/>
    </xf>
    <xf numFmtId="43" fontId="0" fillId="0" borderId="0" xfId="0" applyNumberFormat="1" applyAlignment="1">
      <alignment horizontal="right"/>
    </xf>
    <xf numFmtId="16" fontId="0" fillId="0" borderId="0" xfId="0" applyNumberForma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1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42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1" xfId="0" applyNumberFormat="1" applyBorder="1" applyAlignment="1" quotePrefix="1">
      <alignment horizontal="right"/>
    </xf>
    <xf numFmtId="10" fontId="0" fillId="0" borderId="2" xfId="0" applyNumberFormat="1" applyBorder="1" applyAlignment="1" quotePrefix="1">
      <alignment horizontal="right"/>
    </xf>
    <xf numFmtId="4" fontId="0" fillId="0" borderId="2" xfId="0" applyNumberFormat="1" applyBorder="1" applyAlignment="1">
      <alignment/>
    </xf>
    <xf numFmtId="41" fontId="0" fillId="0" borderId="1" xfId="0" applyNumberFormat="1" applyBorder="1" applyAlignment="1">
      <alignment horizontal="right"/>
    </xf>
    <xf numFmtId="42" fontId="0" fillId="0" borderId="2" xfId="0" applyNumberFormat="1" applyBorder="1" applyAlignment="1">
      <alignment horizontal="right"/>
    </xf>
    <xf numFmtId="37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166" fontId="0" fillId="0" borderId="2" xfId="17" applyNumberFormat="1" applyBorder="1" applyAlignment="1">
      <alignment/>
    </xf>
    <xf numFmtId="0" fontId="5" fillId="0" borderId="0" xfId="0" applyFont="1" applyAlignment="1">
      <alignment horizontal="left" indent="1"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5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left" indent="2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0" fillId="0" borderId="1" xfId="0" applyNumberFormat="1" applyBorder="1" applyAlignment="1">
      <alignment/>
    </xf>
    <xf numFmtId="10" fontId="0" fillId="0" borderId="0" xfId="0" applyNumberFormat="1" applyBorder="1" applyAlignment="1">
      <alignment/>
    </xf>
    <xf numFmtId="44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 horizontal="center"/>
    </xf>
    <xf numFmtId="43" fontId="0" fillId="0" borderId="0" xfId="0" applyNumberFormat="1" applyAlignment="1" quotePrefix="1">
      <alignment horizontal="center"/>
    </xf>
    <xf numFmtId="0" fontId="0" fillId="0" borderId="3" xfId="0" applyBorder="1" applyAlignment="1">
      <alignment horizontal="left" vertical="center" wrapText="1" indent="2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zoomScaleSheetLayoutView="75" workbookViewId="0" topLeftCell="B187">
      <selection activeCell="B206" sqref="B206"/>
    </sheetView>
  </sheetViews>
  <sheetFormatPr defaultColWidth="9.140625" defaultRowHeight="12.75"/>
  <cols>
    <col min="1" max="1" width="60.00390625" style="0" customWidth="1"/>
    <col min="2" max="2" width="14.28125" style="0" customWidth="1"/>
    <col min="3" max="3" width="13.8515625" style="0" customWidth="1"/>
    <col min="4" max="4" width="12.8515625" style="0" customWidth="1"/>
    <col min="5" max="5" width="9.28125" style="0" bestFit="1" customWidth="1"/>
    <col min="6" max="6" width="12.28125" style="0" bestFit="1" customWidth="1"/>
    <col min="7" max="7" width="12.57421875" style="0" bestFit="1" customWidth="1"/>
    <col min="8" max="8" width="14.00390625" style="0" bestFit="1" customWidth="1"/>
    <col min="9" max="9" width="11.140625" style="0" customWidth="1"/>
    <col min="10" max="10" width="10.28125" style="0" customWidth="1"/>
    <col min="11" max="11" width="11.57421875" style="0" bestFit="1" customWidth="1"/>
    <col min="12" max="12" width="10.28125" style="0" customWidth="1"/>
    <col min="13" max="14" width="11.57421875" style="0" bestFit="1" customWidth="1"/>
    <col min="15" max="15" width="11.57421875" style="0" customWidth="1"/>
  </cols>
  <sheetData>
    <row r="1" spans="3:11" ht="12.75">
      <c r="C1" s="55"/>
      <c r="D1" s="56"/>
      <c r="E1" s="56"/>
      <c r="F1" s="56"/>
      <c r="G1" s="56"/>
      <c r="H1" s="56"/>
      <c r="I1" s="56"/>
      <c r="J1" s="56"/>
      <c r="K1" s="56"/>
    </row>
    <row r="2" spans="3:11" ht="12.75">
      <c r="C2" s="55"/>
      <c r="D2" s="56"/>
      <c r="E2" s="56"/>
      <c r="F2" s="56"/>
      <c r="G2" s="56"/>
      <c r="H2" s="56"/>
      <c r="I2" s="56"/>
      <c r="J2" s="56"/>
      <c r="K2" s="56"/>
    </row>
    <row r="3" spans="3:11" ht="12.75">
      <c r="C3" s="57"/>
      <c r="D3" s="56"/>
      <c r="E3" s="56"/>
      <c r="F3" s="56"/>
      <c r="G3" s="56"/>
      <c r="H3" s="56"/>
      <c r="I3" s="56"/>
      <c r="J3" s="56"/>
      <c r="K3" s="56"/>
    </row>
    <row r="4" spans="3:11" ht="12.75">
      <c r="C4" s="55"/>
      <c r="D4" s="56"/>
      <c r="E4" s="56"/>
      <c r="F4" s="56"/>
      <c r="G4" s="56"/>
      <c r="H4" s="56"/>
      <c r="I4" s="56"/>
      <c r="J4" s="56"/>
      <c r="K4" s="56"/>
    </row>
    <row r="5" spans="3:11" ht="12.75">
      <c r="C5" s="57"/>
      <c r="D5" s="56"/>
      <c r="E5" s="56"/>
      <c r="F5" s="56"/>
      <c r="G5" s="56"/>
      <c r="H5" s="56"/>
      <c r="I5" s="56"/>
      <c r="J5" s="56"/>
      <c r="K5" s="56"/>
    </row>
    <row r="6" spans="3:11" ht="12.75">
      <c r="C6" s="56"/>
      <c r="D6" s="56"/>
      <c r="E6" s="56"/>
      <c r="F6" s="56"/>
      <c r="G6" s="56"/>
      <c r="H6" s="56"/>
      <c r="I6" s="56"/>
      <c r="J6" s="56"/>
      <c r="K6" s="56"/>
    </row>
    <row r="7" ht="12.75">
      <c r="A7" s="28" t="s">
        <v>118</v>
      </c>
    </row>
    <row r="8" ht="12.75">
      <c r="A8" s="28" t="s">
        <v>119</v>
      </c>
    </row>
    <row r="9" ht="12.75">
      <c r="A9" s="28" t="s">
        <v>120</v>
      </c>
    </row>
    <row r="10" spans="1:7" ht="12.75">
      <c r="A10" s="28" t="s">
        <v>121</v>
      </c>
      <c r="F10" t="s">
        <v>140</v>
      </c>
      <c r="G10" t="s">
        <v>140</v>
      </c>
    </row>
    <row r="11" spans="2:14" ht="12.75">
      <c r="B11" s="24">
        <v>36891</v>
      </c>
      <c r="C11" s="24">
        <v>36891</v>
      </c>
      <c r="D11" s="25"/>
      <c r="E11" s="20"/>
      <c r="F11" s="24">
        <v>36891</v>
      </c>
      <c r="G11" s="24">
        <v>36891</v>
      </c>
      <c r="H11" s="24"/>
      <c r="I11" s="20"/>
      <c r="J11" s="20" t="s">
        <v>0</v>
      </c>
      <c r="K11" s="20"/>
      <c r="N11" s="20"/>
    </row>
    <row r="12" spans="2:14" ht="12.75">
      <c r="B12" s="42">
        <v>2001</v>
      </c>
      <c r="C12" s="42">
        <v>2000</v>
      </c>
      <c r="D12" s="26"/>
      <c r="E12" s="20"/>
      <c r="F12" s="42">
        <v>2001</v>
      </c>
      <c r="G12" s="42">
        <v>2000</v>
      </c>
      <c r="H12" s="27"/>
      <c r="I12" s="20"/>
      <c r="J12" s="42" t="s">
        <v>2</v>
      </c>
      <c r="K12" s="20"/>
      <c r="N12" s="20"/>
    </row>
    <row r="13" ht="12.75">
      <c r="A13" t="s">
        <v>128</v>
      </c>
    </row>
    <row r="14" ht="12.75">
      <c r="A14" t="s">
        <v>5</v>
      </c>
    </row>
    <row r="15" spans="1:15" ht="12.75">
      <c r="A15" s="6" t="s">
        <v>6</v>
      </c>
      <c r="B15" s="12">
        <v>325253</v>
      </c>
      <c r="C15" s="12">
        <v>155205</v>
      </c>
      <c r="D15" s="12"/>
      <c r="F15" s="2">
        <f aca="true" t="shared" si="0" ref="F15:G20">B15/B$26</f>
        <v>0.18539642548728458</v>
      </c>
      <c r="G15" s="2">
        <f t="shared" si="0"/>
        <v>0.10507612357420627</v>
      </c>
      <c r="H15" s="2"/>
      <c r="J15" s="2">
        <f aca="true" t="shared" si="1" ref="J15:J20">(B15-C15)/ABS(C15)</f>
        <v>1.0956348055797172</v>
      </c>
      <c r="K15" s="2"/>
      <c r="L15" s="2"/>
      <c r="M15" s="2"/>
      <c r="N15" s="2"/>
      <c r="O15" s="2"/>
    </row>
    <row r="16" spans="1:15" ht="12.75">
      <c r="A16" s="6" t="s">
        <v>7</v>
      </c>
      <c r="B16" s="13">
        <v>2342</v>
      </c>
      <c r="C16" s="13">
        <v>380</v>
      </c>
      <c r="D16" s="13"/>
      <c r="F16" s="2">
        <f t="shared" si="0"/>
        <v>0.001334955952723635</v>
      </c>
      <c r="G16" s="2">
        <f t="shared" si="0"/>
        <v>0.0002572657257059913</v>
      </c>
      <c r="H16" s="2"/>
      <c r="J16" s="2">
        <f t="shared" si="1"/>
        <v>5.163157894736842</v>
      </c>
      <c r="K16" s="2"/>
      <c r="L16" s="2"/>
      <c r="M16" s="2"/>
      <c r="N16" s="2"/>
      <c r="O16" s="2"/>
    </row>
    <row r="17" spans="1:15" ht="12.75">
      <c r="A17" s="6" t="s">
        <v>8</v>
      </c>
      <c r="B17" s="13">
        <v>266879</v>
      </c>
      <c r="C17" s="13">
        <v>225639</v>
      </c>
      <c r="D17" s="13"/>
      <c r="F17" s="2">
        <f t="shared" si="0"/>
        <v>0.152122847868032</v>
      </c>
      <c r="G17" s="2">
        <f t="shared" si="0"/>
        <v>0.15276100284887942</v>
      </c>
      <c r="H17" s="2"/>
      <c r="J17" s="2">
        <f t="shared" si="1"/>
        <v>0.18276982259272556</v>
      </c>
      <c r="K17" s="2"/>
      <c r="L17" s="2"/>
      <c r="M17" s="2"/>
      <c r="N17" s="2"/>
      <c r="O17" s="2"/>
    </row>
    <row r="18" spans="1:15" ht="12.75">
      <c r="A18" s="6" t="s">
        <v>9</v>
      </c>
      <c r="B18" s="13">
        <v>163930</v>
      </c>
      <c r="C18" s="13">
        <v>170263</v>
      </c>
      <c r="D18" s="13"/>
      <c r="F18" s="2">
        <f t="shared" si="0"/>
        <v>0.09344121662253864</v>
      </c>
      <c r="G18" s="2">
        <f t="shared" si="0"/>
        <v>0.11527061646284</v>
      </c>
      <c r="H18" s="2"/>
      <c r="J18" s="2">
        <f t="shared" si="1"/>
        <v>-0.03719539770825135</v>
      </c>
      <c r="K18" s="2"/>
      <c r="L18" s="2"/>
      <c r="M18" s="2"/>
      <c r="N18" s="2"/>
      <c r="O18" s="2"/>
    </row>
    <row r="19" spans="1:15" ht="12.75">
      <c r="A19" s="6" t="s">
        <v>10</v>
      </c>
      <c r="B19" s="29">
        <v>14525</v>
      </c>
      <c r="C19" s="29">
        <v>13929</v>
      </c>
      <c r="D19" s="13"/>
      <c r="F19" s="30">
        <f t="shared" si="0"/>
        <v>0.008279348938219811</v>
      </c>
      <c r="G19" s="30">
        <f t="shared" si="0"/>
        <v>0.009430142877259877</v>
      </c>
      <c r="H19" s="2"/>
      <c r="J19" s="30">
        <f t="shared" si="1"/>
        <v>0.04278842702275827</v>
      </c>
      <c r="K19" s="2"/>
      <c r="L19" s="2"/>
      <c r="M19" s="2"/>
      <c r="N19" s="2"/>
      <c r="O19" s="2"/>
    </row>
    <row r="20" spans="1:15" ht="12.75">
      <c r="A20" s="8" t="s">
        <v>11</v>
      </c>
      <c r="B20" s="13">
        <f>+SUM(B15:B19)</f>
        <v>772929</v>
      </c>
      <c r="C20" s="13">
        <f>+SUM(C15:C19)</f>
        <v>565416</v>
      </c>
      <c r="D20" s="13"/>
      <c r="F20" s="2">
        <f t="shared" si="0"/>
        <v>0.4405747948687987</v>
      </c>
      <c r="G20" s="2">
        <f t="shared" si="0"/>
        <v>0.38279515148889154</v>
      </c>
      <c r="H20" s="2"/>
      <c r="J20" s="2">
        <f t="shared" si="1"/>
        <v>0.36700942315038837</v>
      </c>
      <c r="K20" s="2"/>
      <c r="L20" s="2"/>
      <c r="M20" s="2"/>
      <c r="N20" s="2"/>
      <c r="O20" s="2"/>
    </row>
    <row r="21" spans="2:15" ht="12.75">
      <c r="B21" s="13"/>
      <c r="C21" s="13"/>
      <c r="F21" s="2"/>
      <c r="G21" s="2"/>
      <c r="H21" s="2"/>
      <c r="J21" s="2"/>
      <c r="K21" s="2"/>
      <c r="L21" s="2"/>
      <c r="M21" s="2"/>
      <c r="N21" s="2"/>
      <c r="O21" s="2"/>
    </row>
    <row r="22" spans="1:15" ht="12.75">
      <c r="A22" t="s">
        <v>12</v>
      </c>
      <c r="B22" s="13">
        <v>405361</v>
      </c>
      <c r="C22" s="13">
        <v>367229</v>
      </c>
      <c r="D22" s="13"/>
      <c r="F22" s="2">
        <f aca="true" t="shared" si="2" ref="F22:G26">B22/B$26</f>
        <v>0.23105853114944724</v>
      </c>
      <c r="G22" s="2">
        <f t="shared" si="2"/>
        <v>0.24861956627706705</v>
      </c>
      <c r="H22" s="2"/>
      <c r="J22" s="2">
        <f>(B22-C22)/ABS(C22)</f>
        <v>0.10383711526050503</v>
      </c>
      <c r="K22" s="2"/>
      <c r="L22" s="2"/>
      <c r="M22" s="2"/>
      <c r="N22" s="2"/>
      <c r="O22" s="2"/>
    </row>
    <row r="23" spans="1:15" ht="12.75">
      <c r="A23" t="s">
        <v>13</v>
      </c>
      <c r="B23" s="13">
        <v>65175</v>
      </c>
      <c r="C23" s="13">
        <v>75037</v>
      </c>
      <c r="D23" s="13"/>
      <c r="F23" s="2">
        <f t="shared" si="2"/>
        <v>0.03715019394481764</v>
      </c>
      <c r="G23" s="2">
        <f t="shared" si="2"/>
        <v>0.05080117963105387</v>
      </c>
      <c r="H23" s="2"/>
      <c r="J23" s="2">
        <f>(B23-C23)/ABS(C23)</f>
        <v>-0.131428495275664</v>
      </c>
      <c r="K23" s="2"/>
      <c r="L23" s="2"/>
      <c r="M23" s="2"/>
      <c r="N23" s="2"/>
      <c r="O23" s="2"/>
    </row>
    <row r="24" spans="1:15" ht="12.75">
      <c r="A24" t="s">
        <v>14</v>
      </c>
      <c r="B24" s="13">
        <v>64614</v>
      </c>
      <c r="C24" s="13">
        <v>32300</v>
      </c>
      <c r="D24" s="13"/>
      <c r="F24" s="2">
        <f t="shared" si="2"/>
        <v>0.036830420123520474</v>
      </c>
      <c r="G24" s="2">
        <f t="shared" si="2"/>
        <v>0.021867586685009262</v>
      </c>
      <c r="H24" s="2"/>
      <c r="J24" s="2">
        <f>(B24-C24)/ABS(C24)</f>
        <v>1.0004334365325078</v>
      </c>
      <c r="K24" s="2"/>
      <c r="L24" s="2"/>
      <c r="M24" s="2"/>
      <c r="N24" s="2"/>
      <c r="O24" s="2"/>
    </row>
    <row r="25" spans="1:15" ht="12.75">
      <c r="A25" t="s">
        <v>15</v>
      </c>
      <c r="B25" s="13">
        <v>446286</v>
      </c>
      <c r="C25" s="13">
        <v>437090</v>
      </c>
      <c r="D25" s="13"/>
      <c r="F25" s="2">
        <f t="shared" si="2"/>
        <v>0.25438605991341595</v>
      </c>
      <c r="G25" s="2">
        <f t="shared" si="2"/>
        <v>0.2959165159179783</v>
      </c>
      <c r="H25" s="2"/>
      <c r="J25" s="2">
        <f>(B25-C25)/ABS(C25)</f>
        <v>0.02103914525612574</v>
      </c>
      <c r="K25" s="2"/>
      <c r="L25" s="2"/>
      <c r="M25" s="2"/>
      <c r="N25" s="2"/>
      <c r="O25" s="2"/>
    </row>
    <row r="26" spans="1:15" ht="13.5" thickBot="1">
      <c r="A26" t="s">
        <v>101</v>
      </c>
      <c r="B26" s="31">
        <f>SUM(B20:B25)</f>
        <v>1754365</v>
      </c>
      <c r="C26" s="31">
        <f>SUM(C20:C25)</f>
        <v>1477072</v>
      </c>
      <c r="D26" s="12"/>
      <c r="F26" s="32">
        <f t="shared" si="2"/>
        <v>1</v>
      </c>
      <c r="G26" s="32">
        <f t="shared" si="2"/>
        <v>1</v>
      </c>
      <c r="H26" s="2"/>
      <c r="J26" s="32">
        <f>(B26-C26)/ABS(C26)</f>
        <v>0.1877315391531354</v>
      </c>
      <c r="K26" s="2"/>
      <c r="L26" s="2"/>
      <c r="M26" s="2"/>
      <c r="N26" s="2"/>
      <c r="O26" s="2"/>
    </row>
    <row r="27" spans="4:15" ht="13.5" thickTop="1">
      <c r="D27" s="13"/>
      <c r="F27" s="2"/>
      <c r="G27" s="2"/>
      <c r="H27" s="2"/>
      <c r="J27" s="2"/>
      <c r="K27" s="2"/>
      <c r="L27" s="2"/>
      <c r="M27" s="2"/>
      <c r="N27" s="2"/>
      <c r="O27" s="2"/>
    </row>
    <row r="28" spans="1:15" ht="12.75">
      <c r="A28" t="s">
        <v>127</v>
      </c>
      <c r="D28" s="13"/>
      <c r="F28" s="2"/>
      <c r="G28" s="2"/>
      <c r="H28" s="2"/>
      <c r="J28" s="2"/>
      <c r="K28" s="2"/>
      <c r="L28" s="2"/>
      <c r="M28" s="2"/>
      <c r="N28" s="2"/>
      <c r="O28" s="2"/>
    </row>
    <row r="29" spans="1:15" ht="12.75">
      <c r="A29" t="s">
        <v>16</v>
      </c>
      <c r="F29" s="2"/>
      <c r="G29" s="2"/>
      <c r="H29" s="2"/>
      <c r="J29" s="2"/>
      <c r="K29" s="2"/>
      <c r="L29" s="2"/>
      <c r="M29" s="2"/>
      <c r="N29" s="2"/>
      <c r="O29" s="2"/>
    </row>
    <row r="30" spans="1:15" ht="12.75">
      <c r="A30" s="6" t="s">
        <v>17</v>
      </c>
      <c r="B30" s="12">
        <v>55719</v>
      </c>
      <c r="C30" s="12">
        <v>61741</v>
      </c>
      <c r="D30" s="12"/>
      <c r="F30" s="2">
        <f aca="true" t="shared" si="3" ref="F30:G33">B30/B$26</f>
        <v>0.03176020953450394</v>
      </c>
      <c r="G30" s="2">
        <f t="shared" si="3"/>
        <v>0.04179958729161476</v>
      </c>
      <c r="H30" s="2"/>
      <c r="J30" s="2">
        <f>(B30-C30)/ABS(C30)</f>
        <v>-0.09753648305016116</v>
      </c>
      <c r="K30" s="2"/>
      <c r="L30" s="2"/>
      <c r="M30" s="2"/>
      <c r="N30" s="2"/>
      <c r="O30" s="2"/>
    </row>
    <row r="31" spans="1:15" ht="12.75">
      <c r="A31" s="6" t="s">
        <v>18</v>
      </c>
      <c r="B31" s="13">
        <v>96624</v>
      </c>
      <c r="C31" s="13">
        <v>91447</v>
      </c>
      <c r="D31" s="13"/>
      <c r="F31" s="2">
        <f t="shared" si="3"/>
        <v>0.055076338162241036</v>
      </c>
      <c r="G31" s="2">
        <f t="shared" si="3"/>
        <v>0.06191099689114681</v>
      </c>
      <c r="H31" s="2"/>
      <c r="J31" s="2">
        <f>(B31-C31)/ABS(C31)</f>
        <v>0.0566120266383807</v>
      </c>
      <c r="K31" s="2"/>
      <c r="L31" s="2"/>
      <c r="M31" s="2"/>
      <c r="N31" s="2"/>
      <c r="O31" s="2"/>
    </row>
    <row r="32" spans="1:15" ht="12.75">
      <c r="A32" s="6" t="s">
        <v>19</v>
      </c>
      <c r="B32" s="13">
        <v>5741</v>
      </c>
      <c r="C32" s="13">
        <v>907</v>
      </c>
      <c r="D32" s="13"/>
      <c r="F32" s="2">
        <f t="shared" si="3"/>
        <v>0.003272409105288808</v>
      </c>
      <c r="G32" s="2">
        <f t="shared" si="3"/>
        <v>0.0006140526663561424</v>
      </c>
      <c r="H32" s="2"/>
      <c r="J32" s="2">
        <f>(B32-C32)/ABS(C32)</f>
        <v>5.3296582138919515</v>
      </c>
      <c r="K32" s="2"/>
      <c r="L32" s="2"/>
      <c r="M32" s="2"/>
      <c r="N32" s="2"/>
      <c r="O32" s="2"/>
    </row>
    <row r="33" spans="1:15" ht="12.75">
      <c r="A33" s="6" t="s">
        <v>20</v>
      </c>
      <c r="B33" s="29">
        <v>3396</v>
      </c>
      <c r="C33" s="29">
        <v>4682</v>
      </c>
      <c r="D33" s="13"/>
      <c r="F33" s="30">
        <f t="shared" si="3"/>
        <v>0.001935743132130429</v>
      </c>
      <c r="G33" s="30">
        <f t="shared" si="3"/>
        <v>0.003169784546724872</v>
      </c>
      <c r="H33" s="2"/>
      <c r="J33" s="30">
        <f>(B33-C33)/ABS(C33)</f>
        <v>-0.2746689448953439</v>
      </c>
      <c r="K33" s="2"/>
      <c r="L33" s="2"/>
      <c r="M33" s="2"/>
      <c r="N33" s="2"/>
      <c r="O33" s="2"/>
    </row>
    <row r="34" spans="1:15" ht="12.75">
      <c r="A34" s="8" t="s">
        <v>21</v>
      </c>
      <c r="B34" s="13">
        <f>SUM(B30:B33)</f>
        <v>161480</v>
      </c>
      <c r="C34" s="13">
        <f>SUM(C30:C33)</f>
        <v>158777</v>
      </c>
      <c r="D34" s="13"/>
      <c r="F34" s="2">
        <f>B34/B$26</f>
        <v>0.09204469993416421</v>
      </c>
      <c r="G34" s="2">
        <f>C34/C$26</f>
        <v>0.10749442139584259</v>
      </c>
      <c r="H34" s="2"/>
      <c r="J34" s="2">
        <f>(B34-C34)/ABS(C34)</f>
        <v>0.01702387625411741</v>
      </c>
      <c r="K34" s="2"/>
      <c r="L34" s="2"/>
      <c r="M34" s="2"/>
      <c r="N34" s="2"/>
      <c r="O34" s="2"/>
    </row>
    <row r="35" spans="2:15" ht="12.75">
      <c r="B35" s="13"/>
      <c r="C35" s="13"/>
      <c r="D35" s="13"/>
      <c r="F35" s="2"/>
      <c r="G35" s="2"/>
      <c r="H35" s="2"/>
      <c r="J35" s="2"/>
      <c r="K35" s="2"/>
      <c r="L35" s="2"/>
      <c r="M35" s="2"/>
      <c r="N35" s="2"/>
      <c r="O35" s="2"/>
    </row>
    <row r="36" spans="1:15" ht="12.75">
      <c r="A36" t="s">
        <v>22</v>
      </c>
      <c r="B36" s="13">
        <v>734933</v>
      </c>
      <c r="C36" s="13">
        <v>510781</v>
      </c>
      <c r="D36" s="13"/>
      <c r="F36" s="2">
        <f aca="true" t="shared" si="4" ref="F36:G38">B36/B$26</f>
        <v>0.4189168160559519</v>
      </c>
      <c r="G36" s="2">
        <f t="shared" si="4"/>
        <v>0.34580643326797883</v>
      </c>
      <c r="H36" s="2"/>
      <c r="J36" s="2">
        <f>(B36-C36)/ABS(C36)</f>
        <v>0.4388416953645496</v>
      </c>
      <c r="K36" s="2"/>
      <c r="L36" s="2"/>
      <c r="M36" s="2"/>
      <c r="N36" s="2"/>
      <c r="O36" s="2"/>
    </row>
    <row r="37" spans="1:15" ht="12.75">
      <c r="A37" t="s">
        <v>23</v>
      </c>
      <c r="B37" s="13">
        <v>39377</v>
      </c>
      <c r="C37" s="13">
        <v>40988</v>
      </c>
      <c r="D37" s="13"/>
      <c r="F37" s="2">
        <f t="shared" si="4"/>
        <v>0.022445158219640726</v>
      </c>
      <c r="G37" s="2">
        <f t="shared" si="4"/>
        <v>0.0277494935927294</v>
      </c>
      <c r="H37" s="2"/>
      <c r="J37" s="2">
        <f>(B37-C37)/ABS(C37)</f>
        <v>-0.03930418659119742</v>
      </c>
      <c r="K37" s="2"/>
      <c r="L37" s="2"/>
      <c r="M37" s="2"/>
      <c r="N37" s="2"/>
      <c r="O37" s="2"/>
    </row>
    <row r="38" spans="1:15" ht="12.75">
      <c r="A38" t="s">
        <v>24</v>
      </c>
      <c r="B38" s="13">
        <v>7858</v>
      </c>
      <c r="C38" s="13">
        <v>9332</v>
      </c>
      <c r="D38" s="13"/>
      <c r="F38" s="2">
        <f t="shared" si="4"/>
        <v>0.004479113525406629</v>
      </c>
      <c r="G38" s="2">
        <f t="shared" si="4"/>
        <v>0.006317904611285029</v>
      </c>
      <c r="H38" s="2"/>
      <c r="J38" s="2">
        <f>(B38-C38)/ABS(C38)</f>
        <v>-0.1579511358765538</v>
      </c>
      <c r="K38" s="2"/>
      <c r="L38" s="2"/>
      <c r="M38" s="2"/>
      <c r="N38" s="2"/>
      <c r="O38" s="2"/>
    </row>
    <row r="39" spans="1:15" ht="12.75">
      <c r="A39" t="s">
        <v>25</v>
      </c>
      <c r="B39" s="13"/>
      <c r="C39" s="13"/>
      <c r="F39" s="2"/>
      <c r="G39" s="2"/>
      <c r="H39" s="2"/>
      <c r="J39" s="2"/>
      <c r="K39" s="2"/>
      <c r="L39" s="2"/>
      <c r="M39" s="2"/>
      <c r="N39" s="2"/>
      <c r="O39" s="2"/>
    </row>
    <row r="40" spans="2:15" ht="12.75">
      <c r="B40" s="13"/>
      <c r="C40" s="13"/>
      <c r="D40" s="13"/>
      <c r="F40" s="2"/>
      <c r="G40" s="2"/>
      <c r="H40" s="2"/>
      <c r="J40" s="2"/>
      <c r="K40" s="2"/>
      <c r="L40" s="2"/>
      <c r="M40" s="2"/>
      <c r="N40" s="2"/>
      <c r="O40" s="2"/>
    </row>
    <row r="41" spans="1:15" ht="12.75">
      <c r="A41" t="s">
        <v>26</v>
      </c>
      <c r="B41" s="13"/>
      <c r="C41" s="13"/>
      <c r="D41" s="13"/>
      <c r="F41" s="2"/>
      <c r="G41" s="2"/>
      <c r="H41" s="2"/>
      <c r="J41" s="2"/>
      <c r="K41" s="2"/>
      <c r="L41" s="2"/>
      <c r="M41" s="2"/>
      <c r="N41" s="2"/>
      <c r="O41" s="2"/>
    </row>
    <row r="42" spans="1:15" ht="12.75">
      <c r="A42" s="6" t="s">
        <v>27</v>
      </c>
      <c r="B42" s="13"/>
      <c r="C42" s="13"/>
      <c r="D42" s="13"/>
      <c r="F42" s="2"/>
      <c r="G42" s="2"/>
      <c r="H42" s="2"/>
      <c r="J42" s="2"/>
      <c r="K42" s="2"/>
      <c r="L42" s="2"/>
      <c r="M42" s="2"/>
      <c r="N42" s="2"/>
      <c r="O42" s="2"/>
    </row>
    <row r="43" spans="1:15" ht="12.75">
      <c r="A43" s="8" t="s">
        <v>28</v>
      </c>
      <c r="B43" s="13"/>
      <c r="C43" s="13"/>
      <c r="F43" s="2"/>
      <c r="G43" s="2"/>
      <c r="H43" s="2"/>
      <c r="J43" s="2"/>
      <c r="K43" s="2"/>
      <c r="L43" s="2"/>
      <c r="M43" s="2"/>
      <c r="N43" s="2"/>
      <c r="O43" s="2"/>
    </row>
    <row r="44" spans="1:15" ht="12.75">
      <c r="A44" s="8" t="s">
        <v>29</v>
      </c>
      <c r="B44" s="13">
        <v>817</v>
      </c>
      <c r="C44" s="13">
        <v>802</v>
      </c>
      <c r="D44" s="13"/>
      <c r="F44" s="2">
        <f aca="true" t="shared" si="5" ref="F44:G47">B44/B$26</f>
        <v>0.00046569556506200247</v>
      </c>
      <c r="G44" s="2">
        <f t="shared" si="5"/>
        <v>0.0005429660842531711</v>
      </c>
      <c r="H44" s="2"/>
      <c r="J44" s="2">
        <f aca="true" t="shared" si="6" ref="J44:J49">(B44-C44)/ABS(C44)</f>
        <v>0.018703241895261846</v>
      </c>
      <c r="K44" s="2"/>
      <c r="L44" s="2"/>
      <c r="M44" s="2"/>
      <c r="N44" s="2"/>
      <c r="O44" s="2"/>
    </row>
    <row r="45" spans="1:15" ht="12.75">
      <c r="A45" s="6" t="s">
        <v>30</v>
      </c>
      <c r="B45" s="13">
        <v>995243</v>
      </c>
      <c r="C45" s="13">
        <v>973157</v>
      </c>
      <c r="D45" s="13"/>
      <c r="F45" s="2">
        <f t="shared" si="5"/>
        <v>0.5672952891787056</v>
      </c>
      <c r="G45" s="2">
        <f t="shared" si="5"/>
        <v>0.6588419521864879</v>
      </c>
      <c r="H45" s="2"/>
      <c r="J45" s="2">
        <f t="shared" si="6"/>
        <v>0.022695207453679107</v>
      </c>
      <c r="K45" s="2"/>
      <c r="L45" s="2"/>
      <c r="M45" s="2"/>
      <c r="N45" s="2"/>
      <c r="O45" s="2"/>
    </row>
    <row r="46" spans="1:15" ht="12.75">
      <c r="A46" s="6" t="s">
        <v>31</v>
      </c>
      <c r="B46" s="13">
        <v>-96055</v>
      </c>
      <c r="C46" s="13">
        <v>-130087</v>
      </c>
      <c r="D46" s="13"/>
      <c r="F46" s="2">
        <f t="shared" si="5"/>
        <v>-0.054752004286451224</v>
      </c>
      <c r="G46" s="2">
        <f t="shared" si="5"/>
        <v>-0.08807085910504024</v>
      </c>
      <c r="H46" s="2"/>
      <c r="J46" s="2">
        <f t="shared" si="6"/>
        <v>0.2616095382321062</v>
      </c>
      <c r="K46" s="2"/>
      <c r="L46" s="2"/>
      <c r="M46" s="2"/>
      <c r="N46" s="2"/>
      <c r="O46" s="2"/>
    </row>
    <row r="47" spans="1:15" ht="12.75">
      <c r="A47" s="6" t="s">
        <v>32</v>
      </c>
      <c r="B47" s="29">
        <v>-89288</v>
      </c>
      <c r="C47" s="29">
        <v>-86678</v>
      </c>
      <c r="D47" s="13"/>
      <c r="F47" s="30">
        <f t="shared" si="5"/>
        <v>-0.0508947681924799</v>
      </c>
      <c r="G47" s="30">
        <f t="shared" si="5"/>
        <v>-0.05868231203353662</v>
      </c>
      <c r="H47" s="2"/>
      <c r="J47" s="30">
        <f t="shared" si="6"/>
        <v>-0.030111446964627704</v>
      </c>
      <c r="K47" s="2"/>
      <c r="L47" s="2"/>
      <c r="M47" s="2"/>
      <c r="N47" s="2"/>
      <c r="O47" s="2"/>
    </row>
    <row r="48" spans="1:15" ht="12.75">
      <c r="A48" s="8" t="s">
        <v>33</v>
      </c>
      <c r="B48" s="13">
        <f>SUM(B44:B47)</f>
        <v>810717</v>
      </c>
      <c r="C48" s="13">
        <f>SUM(C44:C47)</f>
        <v>757194</v>
      </c>
      <c r="D48" s="13"/>
      <c r="F48" s="2">
        <f>B48/B$26</f>
        <v>0.46211421226483657</v>
      </c>
      <c r="G48" s="2">
        <f>C48/C$26</f>
        <v>0.5126317471321642</v>
      </c>
      <c r="H48" s="2"/>
      <c r="J48" s="2">
        <f t="shared" si="6"/>
        <v>0.07068598007908145</v>
      </c>
      <c r="K48" s="2"/>
      <c r="L48" s="2"/>
      <c r="M48" s="2"/>
      <c r="N48" s="2"/>
      <c r="O48" s="2"/>
    </row>
    <row r="49" spans="1:15" ht="13.5" thickBot="1">
      <c r="A49" s="6" t="s">
        <v>4</v>
      </c>
      <c r="B49" s="31">
        <f>SUM(B34:B47)</f>
        <v>1754365</v>
      </c>
      <c r="C49" s="31">
        <f>SUM(C34:C47)</f>
        <v>1477072</v>
      </c>
      <c r="D49" s="12"/>
      <c r="F49" s="32">
        <f>B49/B$26</f>
        <v>1</v>
      </c>
      <c r="G49" s="32">
        <f>C49/C$26</f>
        <v>1</v>
      </c>
      <c r="H49" s="2"/>
      <c r="J49" s="32">
        <f t="shared" si="6"/>
        <v>0.1877315391531354</v>
      </c>
      <c r="K49" s="2"/>
      <c r="L49" s="2"/>
      <c r="M49" s="2"/>
      <c r="N49" s="2"/>
      <c r="O49" s="2"/>
    </row>
    <row r="50" spans="6:15" ht="13.5" thickTop="1">
      <c r="F50" s="2"/>
      <c r="G50" s="2"/>
      <c r="H50" s="2"/>
      <c r="J50" s="2"/>
      <c r="K50" s="2"/>
      <c r="L50" s="2"/>
      <c r="M50" s="2"/>
      <c r="N50" s="2"/>
      <c r="O50" s="2"/>
    </row>
    <row r="51" spans="1:15" ht="12.75">
      <c r="A51" s="28" t="s">
        <v>118</v>
      </c>
      <c r="D51" s="13"/>
      <c r="F51" s="2"/>
      <c r="G51" s="2"/>
      <c r="H51" s="2"/>
      <c r="J51" s="2"/>
      <c r="K51" s="2"/>
      <c r="L51" s="2"/>
      <c r="M51" s="2"/>
      <c r="N51" s="2"/>
      <c r="O51" s="2"/>
    </row>
    <row r="52" spans="1:15" ht="12.75">
      <c r="A52" s="28" t="s">
        <v>123</v>
      </c>
      <c r="F52" s="2"/>
      <c r="G52" s="2"/>
      <c r="H52" s="2"/>
      <c r="J52" s="2"/>
      <c r="K52" s="2"/>
      <c r="L52" s="2"/>
      <c r="M52" s="2"/>
      <c r="N52" s="2"/>
      <c r="O52" s="2"/>
    </row>
    <row r="53" spans="1:15" ht="12.75">
      <c r="A53" s="28" t="s">
        <v>124</v>
      </c>
      <c r="F53" s="2"/>
      <c r="G53" s="2"/>
      <c r="H53" s="2"/>
      <c r="J53" s="2"/>
      <c r="K53" s="2"/>
      <c r="L53" s="2"/>
      <c r="M53" s="2"/>
      <c r="N53" s="2"/>
      <c r="O53" s="2"/>
    </row>
    <row r="54" spans="1:15" ht="12.75">
      <c r="A54" s="28" t="s">
        <v>122</v>
      </c>
      <c r="F54" s="2"/>
      <c r="G54" s="2"/>
      <c r="H54" s="2"/>
      <c r="J54" s="2"/>
      <c r="K54" s="2"/>
      <c r="L54" s="2"/>
      <c r="M54" s="2"/>
      <c r="N54" s="2"/>
      <c r="O54" s="2"/>
    </row>
    <row r="55" spans="6:15" ht="12.75">
      <c r="F55" s="2"/>
      <c r="G55" s="2"/>
      <c r="H55" s="2"/>
      <c r="J55" s="2"/>
      <c r="K55" s="2"/>
      <c r="L55" s="2"/>
      <c r="M55" s="20" t="s">
        <v>136</v>
      </c>
      <c r="N55" s="20" t="s">
        <v>138</v>
      </c>
      <c r="O55" s="20" t="s">
        <v>139</v>
      </c>
    </row>
    <row r="56" spans="2:15" ht="12.75">
      <c r="B56" s="24">
        <v>36891</v>
      </c>
      <c r="C56" s="24">
        <v>36891</v>
      </c>
      <c r="D56" s="24">
        <v>36891</v>
      </c>
      <c r="E56" s="20"/>
      <c r="F56" s="24">
        <v>36891</v>
      </c>
      <c r="G56" s="24">
        <v>36891</v>
      </c>
      <c r="H56" s="24">
        <v>36891</v>
      </c>
      <c r="I56" s="20"/>
      <c r="J56" s="20" t="s">
        <v>0</v>
      </c>
      <c r="K56" s="20" t="s">
        <v>0</v>
      </c>
      <c r="L56" s="20"/>
      <c r="M56" s="20" t="s">
        <v>137</v>
      </c>
      <c r="N56" s="20" t="s">
        <v>137</v>
      </c>
      <c r="O56" s="20" t="s">
        <v>137</v>
      </c>
    </row>
    <row r="57" spans="2:15" ht="12.75">
      <c r="B57" s="42">
        <v>2001</v>
      </c>
      <c r="C57" s="42">
        <v>2000</v>
      </c>
      <c r="D57" s="42">
        <v>1999</v>
      </c>
      <c r="E57" s="20"/>
      <c r="F57" s="42">
        <v>2001</v>
      </c>
      <c r="G57" s="42">
        <v>2000</v>
      </c>
      <c r="H57" s="42">
        <v>1999</v>
      </c>
      <c r="I57" s="20"/>
      <c r="J57" s="42" t="s">
        <v>2</v>
      </c>
      <c r="K57" s="42" t="s">
        <v>3</v>
      </c>
      <c r="L57" s="20"/>
      <c r="M57" s="42">
        <v>2002</v>
      </c>
      <c r="N57" s="42">
        <v>2002</v>
      </c>
      <c r="O57" s="42">
        <v>2002</v>
      </c>
    </row>
    <row r="58" spans="1:14" ht="12.75">
      <c r="A58" t="s">
        <v>34</v>
      </c>
      <c r="F58" s="2"/>
      <c r="G58" s="2"/>
      <c r="H58" s="2"/>
      <c r="J58" s="2"/>
      <c r="K58" s="2"/>
      <c r="L58" s="2"/>
      <c r="M58" s="2"/>
      <c r="N58" s="2"/>
    </row>
    <row r="59" spans="1:15" ht="12.75">
      <c r="A59" s="6" t="s">
        <v>35</v>
      </c>
      <c r="B59" s="12">
        <v>721115</v>
      </c>
      <c r="C59" s="12">
        <v>645204</v>
      </c>
      <c r="D59" s="12">
        <v>638527</v>
      </c>
      <c r="F59" s="10">
        <f aca="true" t="shared" si="7" ref="F59:H61">+B59/B$61</f>
        <v>0.8403585113226368</v>
      </c>
      <c r="G59" s="10">
        <f t="shared" si="7"/>
        <v>0.8061986445150843</v>
      </c>
      <c r="H59" s="10">
        <f t="shared" si="7"/>
        <v>0.8543172975547623</v>
      </c>
      <c r="J59" s="2">
        <f aca="true" t="shared" si="8" ref="J59:K61">(B59-C59)/ABS(C59)</f>
        <v>0.11765426128790274</v>
      </c>
      <c r="K59" s="2">
        <f t="shared" si="8"/>
        <v>0.010456879662097296</v>
      </c>
      <c r="L59" s="2"/>
      <c r="M59" s="12">
        <f>B59*1.25</f>
        <v>901393.75</v>
      </c>
      <c r="N59" s="12">
        <f>B59</f>
        <v>721115</v>
      </c>
      <c r="O59" s="12">
        <f>B59*0.75</f>
        <v>540836.25</v>
      </c>
    </row>
    <row r="60" spans="1:15" ht="12.75">
      <c r="A60" s="6" t="s">
        <v>36</v>
      </c>
      <c r="B60" s="29">
        <v>136989</v>
      </c>
      <c r="C60" s="29">
        <v>155100</v>
      </c>
      <c r="D60" s="29">
        <v>108885</v>
      </c>
      <c r="F60" s="33">
        <f t="shared" si="7"/>
        <v>0.1596414886773631</v>
      </c>
      <c r="G60" s="33">
        <f t="shared" si="7"/>
        <v>0.19380135548491573</v>
      </c>
      <c r="H60" s="33">
        <f t="shared" si="7"/>
        <v>0.1456827024452377</v>
      </c>
      <c r="J60" s="30">
        <f t="shared" si="8"/>
        <v>-0.11676982591876209</v>
      </c>
      <c r="K60" s="30">
        <f t="shared" si="8"/>
        <v>0.42443862791018044</v>
      </c>
      <c r="L60" s="2"/>
      <c r="M60" s="29">
        <f>B60*1.25</f>
        <v>171236.25</v>
      </c>
      <c r="N60" s="29">
        <f aca="true" t="shared" si="9" ref="N60:N79">B60</f>
        <v>136989</v>
      </c>
      <c r="O60" s="29">
        <f aca="true" t="shared" si="10" ref="O60:O79">B60*0.75</f>
        <v>102741.75</v>
      </c>
    </row>
    <row r="61" spans="1:15" ht="12.75">
      <c r="A61" s="8" t="s">
        <v>37</v>
      </c>
      <c r="B61" s="13">
        <f>+B60+B59</f>
        <v>858104</v>
      </c>
      <c r="C61" s="13">
        <f>+C60+C59</f>
        <v>800304</v>
      </c>
      <c r="D61" s="13">
        <f>+D60+D59</f>
        <v>747412</v>
      </c>
      <c r="F61" s="10">
        <f t="shared" si="7"/>
        <v>1</v>
      </c>
      <c r="G61" s="10">
        <f t="shared" si="7"/>
        <v>1</v>
      </c>
      <c r="H61" s="10">
        <f t="shared" si="7"/>
        <v>1</v>
      </c>
      <c r="J61" s="2">
        <f t="shared" si="8"/>
        <v>0.072222555428937</v>
      </c>
      <c r="K61" s="2">
        <f t="shared" si="8"/>
        <v>0.0707668595098821</v>
      </c>
      <c r="L61" s="2"/>
      <c r="M61" s="13">
        <f>+M60+M59</f>
        <v>1072630</v>
      </c>
      <c r="N61" s="13">
        <f>+N60+N59</f>
        <v>858104</v>
      </c>
      <c r="O61" s="13">
        <f>+O60+O59</f>
        <v>643578</v>
      </c>
    </row>
    <row r="62" spans="1:15" ht="12.75">
      <c r="A62" s="8"/>
      <c r="B62" s="13"/>
      <c r="C62" s="13"/>
      <c r="D62" s="13"/>
      <c r="F62" s="2"/>
      <c r="G62" s="2"/>
      <c r="H62" s="17"/>
      <c r="J62" s="2"/>
      <c r="K62" s="2"/>
      <c r="L62" s="2"/>
      <c r="M62" s="12"/>
      <c r="N62" s="12"/>
      <c r="O62" s="12"/>
    </row>
    <row r="63" spans="1:15" ht="12.75">
      <c r="A63" t="s">
        <v>38</v>
      </c>
      <c r="B63" s="13"/>
      <c r="C63" s="13"/>
      <c r="D63" s="13"/>
      <c r="F63" s="10"/>
      <c r="G63" s="10"/>
      <c r="H63" s="10"/>
      <c r="J63" s="10"/>
      <c r="K63" s="2"/>
      <c r="L63" s="10"/>
      <c r="M63" s="12"/>
      <c r="N63" s="12"/>
      <c r="O63" s="12"/>
    </row>
    <row r="64" spans="1:15" ht="12.75">
      <c r="A64" s="6" t="s">
        <v>39</v>
      </c>
      <c r="B64" s="13">
        <v>285736</v>
      </c>
      <c r="C64" s="13">
        <v>262818</v>
      </c>
      <c r="D64" s="13">
        <v>256146</v>
      </c>
      <c r="F64" s="10">
        <f aca="true" t="shared" si="11" ref="F64:H67">+B64/B$61</f>
        <v>0.33298527917362</v>
      </c>
      <c r="G64" s="10">
        <f t="shared" si="11"/>
        <v>0.32839770887062913</v>
      </c>
      <c r="H64" s="10">
        <f t="shared" si="11"/>
        <v>0.34271057997463245</v>
      </c>
      <c r="J64" s="2">
        <f aca="true" t="shared" si="12" ref="J64:K69">(B64-C64)/ABS(C64)</f>
        <v>0.08720102884886119</v>
      </c>
      <c r="K64" s="2">
        <f t="shared" si="12"/>
        <v>0.026047644702630532</v>
      </c>
      <c r="L64" s="2"/>
      <c r="M64" s="13">
        <f>B64*1.25</f>
        <v>357170</v>
      </c>
      <c r="N64" s="13">
        <f t="shared" si="9"/>
        <v>285736</v>
      </c>
      <c r="O64" s="13">
        <f t="shared" si="10"/>
        <v>214302</v>
      </c>
    </row>
    <row r="65" spans="1:15" ht="12.75">
      <c r="A65" s="6" t="s">
        <v>40</v>
      </c>
      <c r="B65" s="13">
        <v>320472</v>
      </c>
      <c r="C65" s="13">
        <v>304314</v>
      </c>
      <c r="D65" s="13">
        <v>252207</v>
      </c>
      <c r="F65" s="10">
        <f t="shared" si="11"/>
        <v>0.37346522099885326</v>
      </c>
      <c r="G65" s="10">
        <f t="shared" si="11"/>
        <v>0.38024800575781204</v>
      </c>
      <c r="H65" s="10">
        <f t="shared" si="11"/>
        <v>0.3374403943206692</v>
      </c>
      <c r="J65" s="2">
        <f t="shared" si="12"/>
        <v>0.053096472722253985</v>
      </c>
      <c r="K65" s="2">
        <f t="shared" si="12"/>
        <v>0.20660409901390525</v>
      </c>
      <c r="L65" s="2"/>
      <c r="M65" s="13">
        <f>B65*1.25</f>
        <v>400590</v>
      </c>
      <c r="N65" s="13">
        <f t="shared" si="9"/>
        <v>320472</v>
      </c>
      <c r="O65" s="13">
        <f t="shared" si="10"/>
        <v>240354</v>
      </c>
    </row>
    <row r="66" spans="1:15" ht="12.75">
      <c r="A66" s="6" t="s">
        <v>41</v>
      </c>
      <c r="B66" s="13">
        <v>30474</v>
      </c>
      <c r="C66" s="13">
        <v>18769</v>
      </c>
      <c r="D66" s="13">
        <v>10963</v>
      </c>
      <c r="F66" s="10">
        <f t="shared" si="11"/>
        <v>0.035513177889859505</v>
      </c>
      <c r="G66" s="10">
        <f t="shared" si="11"/>
        <v>0.023452338111517625</v>
      </c>
      <c r="H66" s="10">
        <f t="shared" si="11"/>
        <v>0.014667947530946787</v>
      </c>
      <c r="J66" s="2">
        <f t="shared" si="12"/>
        <v>0.6236347168202888</v>
      </c>
      <c r="K66" s="2">
        <f t="shared" si="12"/>
        <v>0.7120313782723707</v>
      </c>
      <c r="L66" s="2"/>
      <c r="M66" s="13">
        <f>B66*1.25</f>
        <v>38092.5</v>
      </c>
      <c r="N66" s="13">
        <f t="shared" si="9"/>
        <v>30474</v>
      </c>
      <c r="O66" s="13">
        <f t="shared" si="10"/>
        <v>22855.5</v>
      </c>
    </row>
    <row r="67" spans="1:15" ht="12.75">
      <c r="A67" s="6" t="s">
        <v>42</v>
      </c>
      <c r="B67" s="29">
        <v>32084</v>
      </c>
      <c r="C67" s="29">
        <v>30448</v>
      </c>
      <c r="D67" s="29">
        <v>29239</v>
      </c>
      <c r="F67" s="33">
        <f t="shared" si="11"/>
        <v>0.03738940734456429</v>
      </c>
      <c r="G67" s="33">
        <f t="shared" si="11"/>
        <v>0.038045542693776364</v>
      </c>
      <c r="H67" s="33">
        <f t="shared" si="11"/>
        <v>0.03912032453318919</v>
      </c>
      <c r="J67" s="30">
        <f t="shared" si="12"/>
        <v>0.05373095112979506</v>
      </c>
      <c r="K67" s="30">
        <f t="shared" si="12"/>
        <v>0.04134888334074353</v>
      </c>
      <c r="L67" s="2"/>
      <c r="M67" s="29">
        <f>B67*1.25</f>
        <v>40105</v>
      </c>
      <c r="N67" s="29">
        <f t="shared" si="9"/>
        <v>32084</v>
      </c>
      <c r="O67" s="29">
        <f t="shared" si="10"/>
        <v>24063</v>
      </c>
    </row>
    <row r="68" spans="1:15" ht="12.75">
      <c r="A68" s="8" t="s">
        <v>43</v>
      </c>
      <c r="B68" s="29">
        <f>SUM(B64:B67)</f>
        <v>668766</v>
      </c>
      <c r="C68" s="29">
        <f>SUM(C64:C67)</f>
        <v>616349</v>
      </c>
      <c r="D68" s="29">
        <f>SUM(D64:D67)</f>
        <v>548555</v>
      </c>
      <c r="F68" s="33">
        <f aca="true" t="shared" si="13" ref="F68:H69">+B68/B$61</f>
        <v>0.7793530854068971</v>
      </c>
      <c r="G68" s="33">
        <f t="shared" si="13"/>
        <v>0.7701435954337352</v>
      </c>
      <c r="H68" s="33">
        <f t="shared" si="13"/>
        <v>0.7339392463594376</v>
      </c>
      <c r="J68" s="30">
        <f t="shared" si="12"/>
        <v>0.08504434987320496</v>
      </c>
      <c r="K68" s="30">
        <f t="shared" si="12"/>
        <v>0.12358651365861217</v>
      </c>
      <c r="L68" s="2"/>
      <c r="M68" s="29">
        <f>SUM(M64:M67)</f>
        <v>835957.5</v>
      </c>
      <c r="N68" s="29">
        <f>SUM(N64:N67)</f>
        <v>668766</v>
      </c>
      <c r="O68" s="29">
        <f>SUM(O64:O67)</f>
        <v>501574.5</v>
      </c>
    </row>
    <row r="69" spans="1:15" ht="12.75">
      <c r="A69" s="8" t="s">
        <v>44</v>
      </c>
      <c r="B69" s="13">
        <f>+B61-B68</f>
        <v>189338</v>
      </c>
      <c r="C69" s="13">
        <f>+C61-C68</f>
        <v>183955</v>
      </c>
      <c r="D69" s="13">
        <f>+D61-D68</f>
        <v>198857</v>
      </c>
      <c r="F69" s="10">
        <f t="shared" si="13"/>
        <v>0.22064691459310293</v>
      </c>
      <c r="G69" s="10">
        <f t="shared" si="13"/>
        <v>0.22985640456626483</v>
      </c>
      <c r="H69" s="10">
        <f t="shared" si="13"/>
        <v>0.26606075364056236</v>
      </c>
      <c r="J69" s="2">
        <f t="shared" si="12"/>
        <v>0.02926259139463456</v>
      </c>
      <c r="K69" s="2">
        <f t="shared" si="12"/>
        <v>-0.07493827222577028</v>
      </c>
      <c r="L69" s="2"/>
      <c r="M69" s="13">
        <f>+M61-M68</f>
        <v>236672.5</v>
      </c>
      <c r="N69" s="13">
        <f>+N61-N68</f>
        <v>189338</v>
      </c>
      <c r="O69" s="13">
        <f>+O61-O68</f>
        <v>142003.5</v>
      </c>
    </row>
    <row r="70" spans="2:15" ht="12.75">
      <c r="B70" s="13"/>
      <c r="C70" s="13"/>
      <c r="D70" s="13"/>
      <c r="F70" s="3"/>
      <c r="G70" s="3"/>
      <c r="H70" s="21"/>
      <c r="M70" s="13"/>
      <c r="N70" s="13"/>
      <c r="O70" s="13"/>
    </row>
    <row r="71" spans="1:15" ht="12.75">
      <c r="A71" t="s">
        <v>45</v>
      </c>
      <c r="B71" s="13">
        <v>-1168</v>
      </c>
      <c r="C71" s="13">
        <v>6587</v>
      </c>
      <c r="D71" s="13">
        <v>11823</v>
      </c>
      <c r="F71" s="10">
        <f aca="true" t="shared" si="14" ref="F71:H73">+B71/B$61</f>
        <v>-0.0013611403745932894</v>
      </c>
      <c r="G71" s="10">
        <f t="shared" si="14"/>
        <v>0.00823062236350187</v>
      </c>
      <c r="H71" s="10">
        <f t="shared" si="14"/>
        <v>0.015818584662809804</v>
      </c>
      <c r="J71" s="2">
        <f aca="true" t="shared" si="15" ref="J71:K77">(B71-C71)/ABS(C71)</f>
        <v>-1.1773189615910127</v>
      </c>
      <c r="K71" s="2">
        <f t="shared" si="15"/>
        <v>-0.4428656009473061</v>
      </c>
      <c r="L71" s="2"/>
      <c r="M71" s="13">
        <f>B71*1.25</f>
        <v>-1460</v>
      </c>
      <c r="N71" s="13">
        <f t="shared" si="9"/>
        <v>-1168</v>
      </c>
      <c r="O71" s="13">
        <f t="shared" si="10"/>
        <v>-876</v>
      </c>
    </row>
    <row r="72" spans="1:15" ht="12.75">
      <c r="A72" t="s">
        <v>46</v>
      </c>
      <c r="B72" s="13">
        <v>-9644</v>
      </c>
      <c r="C72" s="13">
        <v>-12542</v>
      </c>
      <c r="D72" s="13">
        <v>-8894</v>
      </c>
      <c r="F72" s="10">
        <f t="shared" si="14"/>
        <v>-0.011238730969672674</v>
      </c>
      <c r="G72" s="10">
        <f t="shared" si="14"/>
        <v>-0.01567154481297107</v>
      </c>
      <c r="H72" s="10">
        <f t="shared" si="14"/>
        <v>-0.011899728663708906</v>
      </c>
      <c r="J72" s="2">
        <f t="shared" si="15"/>
        <v>0.23106362621591453</v>
      </c>
      <c r="K72" s="2">
        <f t="shared" si="15"/>
        <v>-0.41016415561052394</v>
      </c>
      <c r="L72" s="2"/>
      <c r="M72" s="13">
        <f>B72*1.25</f>
        <v>-12055</v>
      </c>
      <c r="N72" s="13">
        <f t="shared" si="9"/>
        <v>-9644</v>
      </c>
      <c r="O72" s="13">
        <f t="shared" si="10"/>
        <v>-7233</v>
      </c>
    </row>
    <row r="73" spans="1:15" ht="12.75">
      <c r="A73" t="s">
        <v>47</v>
      </c>
      <c r="B73" s="29">
        <v>55793</v>
      </c>
      <c r="C73" s="29">
        <v>60356</v>
      </c>
      <c r="D73" s="29">
        <v>55943</v>
      </c>
      <c r="F73" s="33">
        <f t="shared" si="14"/>
        <v>0.06501892544493441</v>
      </c>
      <c r="G73" s="33">
        <f t="shared" si="14"/>
        <v>0.07541634179011976</v>
      </c>
      <c r="H73" s="33">
        <f t="shared" si="14"/>
        <v>0.07484894542768915</v>
      </c>
      <c r="J73" s="30">
        <f t="shared" si="15"/>
        <v>-0.07560143150639538</v>
      </c>
      <c r="K73" s="30">
        <f t="shared" si="15"/>
        <v>0.07888386393293173</v>
      </c>
      <c r="L73" s="2"/>
      <c r="M73" s="29">
        <f>B73*1.25</f>
        <v>69741.25</v>
      </c>
      <c r="N73" s="29">
        <f t="shared" si="9"/>
        <v>55793</v>
      </c>
      <c r="O73" s="29">
        <f t="shared" si="10"/>
        <v>41844.75</v>
      </c>
    </row>
    <row r="74" spans="1:15" ht="12.75">
      <c r="A74" s="14" t="s">
        <v>48</v>
      </c>
      <c r="B74" s="13">
        <f>+B69-B71-B72-B73</f>
        <v>144357</v>
      </c>
      <c r="C74" s="13">
        <f>+C69-C71-C72-C73</f>
        <v>129554</v>
      </c>
      <c r="D74" s="13">
        <f>+D69-D71-D72-D73</f>
        <v>139985</v>
      </c>
      <c r="F74" s="10">
        <f aca="true" t="shared" si="16" ref="F74:H76">+B74/B$61</f>
        <v>0.1682278604924345</v>
      </c>
      <c r="G74" s="10">
        <f t="shared" si="16"/>
        <v>0.16188098522561425</v>
      </c>
      <c r="H74" s="10">
        <f t="shared" si="16"/>
        <v>0.18729295221377232</v>
      </c>
      <c r="J74" s="2">
        <f t="shared" si="15"/>
        <v>0.11426123469750066</v>
      </c>
      <c r="K74" s="2">
        <f t="shared" si="15"/>
        <v>-0.07451512662070936</v>
      </c>
      <c r="L74" s="2"/>
      <c r="M74" s="13">
        <f>+M69-M71-M72-M73</f>
        <v>180446.25</v>
      </c>
      <c r="N74" s="13">
        <f>+N69-N71-N72-N73</f>
        <v>144357</v>
      </c>
      <c r="O74" s="13">
        <f>+O69-O71-O72-O73</f>
        <v>108267.75</v>
      </c>
    </row>
    <row r="75" spans="1:15" ht="12.75">
      <c r="A75" t="s">
        <v>49</v>
      </c>
      <c r="B75" s="13">
        <v>58609</v>
      </c>
      <c r="C75" s="13">
        <v>37683</v>
      </c>
      <c r="D75" s="13">
        <v>28996</v>
      </c>
      <c r="F75" s="10">
        <f t="shared" si="16"/>
        <v>0.06830057895080317</v>
      </c>
      <c r="G75" s="10">
        <f t="shared" si="16"/>
        <v>0.047085857374197806</v>
      </c>
      <c r="H75" s="10">
        <f t="shared" si="16"/>
        <v>0.03879520264593022</v>
      </c>
      <c r="J75" s="2">
        <f t="shared" si="15"/>
        <v>0.5553167210678556</v>
      </c>
      <c r="K75" s="2">
        <f t="shared" si="15"/>
        <v>0.2995930473168713</v>
      </c>
      <c r="L75" s="2"/>
      <c r="M75" s="13">
        <f>B75*1.25</f>
        <v>73261.25</v>
      </c>
      <c r="N75" s="13">
        <f t="shared" si="9"/>
        <v>58609</v>
      </c>
      <c r="O75" s="13">
        <f t="shared" si="10"/>
        <v>43956.75</v>
      </c>
    </row>
    <row r="76" spans="1:15" ht="12.75">
      <c r="A76" t="s">
        <v>24</v>
      </c>
      <c r="B76" s="29">
        <v>548</v>
      </c>
      <c r="C76" s="29">
        <v>-1534</v>
      </c>
      <c r="D76" s="29">
        <v>-7637</v>
      </c>
      <c r="F76" s="33">
        <f t="shared" si="16"/>
        <v>0.0006386172305454816</v>
      </c>
      <c r="G76" s="33">
        <f t="shared" si="16"/>
        <v>-0.001916771626781823</v>
      </c>
      <c r="H76" s="33">
        <f t="shared" si="16"/>
        <v>-0.010217925320974241</v>
      </c>
      <c r="J76" s="30">
        <f t="shared" si="15"/>
        <v>1.3572359843546284</v>
      </c>
      <c r="K76" s="30">
        <f t="shared" si="15"/>
        <v>0.7991357863035223</v>
      </c>
      <c r="L76" s="2"/>
      <c r="M76" s="29">
        <f>B76*1.25</f>
        <v>685</v>
      </c>
      <c r="N76" s="29">
        <f t="shared" si="9"/>
        <v>548</v>
      </c>
      <c r="O76" s="29">
        <f t="shared" si="10"/>
        <v>411</v>
      </c>
    </row>
    <row r="77" spans="1:15" ht="12.75">
      <c r="A77" s="8" t="s">
        <v>50</v>
      </c>
      <c r="B77" s="12">
        <f>+B74-B75-B76</f>
        <v>85200</v>
      </c>
      <c r="C77" s="12">
        <f>+C74-C75-C76</f>
        <v>93405</v>
      </c>
      <c r="D77" s="12">
        <f>+D74-D75-D76</f>
        <v>118626</v>
      </c>
      <c r="F77" s="10">
        <f>+B77/B$61</f>
        <v>0.09928866431108584</v>
      </c>
      <c r="G77" s="10">
        <f>+C77/C$61</f>
        <v>0.11671189947819828</v>
      </c>
      <c r="H77" s="10">
        <f>+D77/D$61</f>
        <v>0.15871567488881635</v>
      </c>
      <c r="J77" s="2">
        <f t="shared" si="15"/>
        <v>-0.08784326320860768</v>
      </c>
      <c r="K77" s="2">
        <f t="shared" si="15"/>
        <v>-0.21260937737089677</v>
      </c>
      <c r="L77" s="2"/>
      <c r="M77" s="12">
        <f>+M74-M75-M76</f>
        <v>106500</v>
      </c>
      <c r="N77" s="12">
        <f>+N74-N75-N76</f>
        <v>85200</v>
      </c>
      <c r="O77" s="12">
        <f>+O74-O75-O76</f>
        <v>63900</v>
      </c>
    </row>
    <row r="78" spans="6:15" ht="12.75">
      <c r="F78" s="2"/>
      <c r="G78" s="2"/>
      <c r="H78" s="17"/>
      <c r="J78" s="2"/>
      <c r="K78" s="2"/>
      <c r="L78" s="2"/>
      <c r="M78" s="13"/>
      <c r="N78" s="13"/>
      <c r="O78" s="13"/>
    </row>
    <row r="79" spans="1:15" ht="12.75">
      <c r="A79" t="s">
        <v>51</v>
      </c>
      <c r="B79" s="15">
        <v>21066</v>
      </c>
      <c r="C79" s="15">
        <v>3225</v>
      </c>
      <c r="D79" s="16" t="s">
        <v>1</v>
      </c>
      <c r="F79" s="10">
        <f>+B79/B$61</f>
        <v>0.0245494718588889</v>
      </c>
      <c r="G79" s="10">
        <f>+C79/C$61</f>
        <v>0.004029718706891381</v>
      </c>
      <c r="H79" s="17" t="s">
        <v>102</v>
      </c>
      <c r="J79" s="2">
        <f>(B79-C79)/ABS(C79)</f>
        <v>5.532093023255814</v>
      </c>
      <c r="K79" s="17" t="s">
        <v>102</v>
      </c>
      <c r="L79" s="2"/>
      <c r="M79" s="13">
        <f>B79*1.25</f>
        <v>26332.5</v>
      </c>
      <c r="N79" s="13">
        <f t="shared" si="9"/>
        <v>21066</v>
      </c>
      <c r="O79" s="13">
        <f t="shared" si="10"/>
        <v>15799.5</v>
      </c>
    </row>
    <row r="80" spans="1:15" ht="13.5" thickBot="1">
      <c r="A80" t="s">
        <v>52</v>
      </c>
      <c r="B80" s="31">
        <f>+B77-B79</f>
        <v>64134</v>
      </c>
      <c r="C80" s="31">
        <f>+C77-C79</f>
        <v>90180</v>
      </c>
      <c r="D80" s="31">
        <f>+D77</f>
        <v>118626</v>
      </c>
      <c r="F80" s="34">
        <f>+B80/B$61</f>
        <v>0.07473919245219694</v>
      </c>
      <c r="G80" s="34">
        <f>+C80/C$61</f>
        <v>0.1126821807713069</v>
      </c>
      <c r="H80" s="34">
        <f>+D80/D$61</f>
        <v>0.15871567488881635</v>
      </c>
      <c r="J80" s="32">
        <f>(B80-C80)/ABS(C80)</f>
        <v>-0.2888223552894212</v>
      </c>
      <c r="K80" s="32">
        <f>(C80-D80)/ABS(D80)</f>
        <v>-0.23979566031055585</v>
      </c>
      <c r="L80" s="2"/>
      <c r="M80" s="31">
        <f>+M77-M79</f>
        <v>80167.5</v>
      </c>
      <c r="N80" s="31">
        <f>+N77-N79</f>
        <v>64134</v>
      </c>
      <c r="O80" s="31">
        <f>+O77-O79</f>
        <v>48100.5</v>
      </c>
    </row>
    <row r="81" spans="1:15" ht="13.5" thickTop="1">
      <c r="A81" t="s">
        <v>53</v>
      </c>
      <c r="F81" s="2"/>
      <c r="G81" s="2"/>
      <c r="H81" s="2"/>
      <c r="J81" s="2"/>
      <c r="K81" s="2"/>
      <c r="L81" s="2"/>
      <c r="M81" s="2"/>
      <c r="N81" s="2"/>
      <c r="O81" s="2"/>
    </row>
    <row r="82" spans="1:15" ht="12.75">
      <c r="A82" t="s">
        <v>54</v>
      </c>
      <c r="B82" s="5">
        <v>1.05</v>
      </c>
      <c r="C82" s="5">
        <v>1.18</v>
      </c>
      <c r="D82" s="5">
        <v>1.52</v>
      </c>
      <c r="F82" s="2"/>
      <c r="G82" s="2"/>
      <c r="H82" s="2"/>
      <c r="J82" s="2"/>
      <c r="K82" s="2"/>
      <c r="L82" s="2"/>
      <c r="M82" s="2"/>
      <c r="N82" s="2"/>
      <c r="O82" s="2"/>
    </row>
    <row r="83" spans="1:15" ht="12.75">
      <c r="A83" t="s">
        <v>55</v>
      </c>
      <c r="B83" s="4">
        <v>0.26</v>
      </c>
      <c r="C83" s="4">
        <v>0.04</v>
      </c>
      <c r="D83" s="16" t="s">
        <v>1</v>
      </c>
      <c r="F83" s="10"/>
      <c r="G83" s="10"/>
      <c r="H83" s="10"/>
      <c r="J83" s="10"/>
      <c r="K83" s="10"/>
      <c r="L83" s="10"/>
      <c r="M83" s="10"/>
      <c r="N83" s="10"/>
      <c r="O83" s="10"/>
    </row>
    <row r="84" spans="1:15" ht="13.5" thickBot="1">
      <c r="A84" t="s">
        <v>56</v>
      </c>
      <c r="B84" s="35">
        <v>0.79</v>
      </c>
      <c r="C84" s="35">
        <v>1.14</v>
      </c>
      <c r="D84" s="35">
        <v>1.52</v>
      </c>
      <c r="F84" s="2"/>
      <c r="G84" s="2"/>
      <c r="H84" s="2"/>
      <c r="J84" s="2"/>
      <c r="K84" s="2"/>
      <c r="L84" s="2"/>
      <c r="M84" s="2"/>
      <c r="N84" s="2"/>
      <c r="O84" s="2"/>
    </row>
    <row r="85" spans="1:4" ht="13.5" thickTop="1">
      <c r="A85" t="s">
        <v>57</v>
      </c>
      <c r="B85" s="15"/>
      <c r="C85" s="15"/>
      <c r="D85" s="15"/>
    </row>
    <row r="86" spans="1:4" ht="12.75">
      <c r="A86" t="s">
        <v>54</v>
      </c>
      <c r="B86" s="5">
        <v>1.02</v>
      </c>
      <c r="C86" s="5">
        <v>1.14</v>
      </c>
      <c r="D86" s="5">
        <v>1.45</v>
      </c>
    </row>
    <row r="87" spans="1:4" ht="12.75">
      <c r="A87" t="s">
        <v>55</v>
      </c>
      <c r="B87" s="4">
        <v>0.25</v>
      </c>
      <c r="C87" s="4">
        <v>0.04</v>
      </c>
      <c r="D87" s="4"/>
    </row>
    <row r="88" spans="1:4" ht="13.5" thickBot="1">
      <c r="A88" t="s">
        <v>56</v>
      </c>
      <c r="B88" s="35">
        <v>0.77</v>
      </c>
      <c r="C88" s="35">
        <v>1.1</v>
      </c>
      <c r="D88" s="35">
        <v>1.45</v>
      </c>
    </row>
    <row r="89" spans="1:4" ht="13.5" thickTop="1">
      <c r="A89" t="s">
        <v>58</v>
      </c>
      <c r="B89" s="5"/>
      <c r="C89" s="5"/>
      <c r="D89" s="5"/>
    </row>
    <row r="90" spans="1:4" ht="13.5" customHeight="1">
      <c r="A90" t="s">
        <v>59</v>
      </c>
      <c r="B90" s="15">
        <v>81124</v>
      </c>
      <c r="C90" s="15">
        <v>79395</v>
      </c>
      <c r="D90" s="15">
        <v>77833</v>
      </c>
    </row>
    <row r="91" spans="1:4" ht="12.75">
      <c r="A91" t="s">
        <v>60</v>
      </c>
      <c r="B91" s="15">
        <v>83166</v>
      </c>
      <c r="C91" s="15">
        <v>82264</v>
      </c>
      <c r="D91" s="15">
        <v>82089</v>
      </c>
    </row>
    <row r="93" ht="12.75">
      <c r="A93" s="28" t="s">
        <v>118</v>
      </c>
    </row>
    <row r="94" ht="12.75">
      <c r="A94" s="28" t="s">
        <v>125</v>
      </c>
    </row>
    <row r="95" ht="12.75">
      <c r="A95" s="28" t="s">
        <v>124</v>
      </c>
    </row>
    <row r="96" ht="12.75">
      <c r="A96" s="28" t="s">
        <v>121</v>
      </c>
    </row>
    <row r="98" spans="2:4" ht="12.75">
      <c r="B98" s="24">
        <v>36891</v>
      </c>
      <c r="C98" s="24">
        <v>36891</v>
      </c>
      <c r="D98" s="24">
        <v>36891</v>
      </c>
    </row>
    <row r="99" spans="2:4" ht="12.75">
      <c r="B99" s="42">
        <v>2001</v>
      </c>
      <c r="C99" s="42">
        <v>2000</v>
      </c>
      <c r="D99" s="42">
        <v>1999</v>
      </c>
    </row>
    <row r="101" ht="12.75">
      <c r="A101" t="s">
        <v>129</v>
      </c>
    </row>
    <row r="102" spans="1:4" ht="12.75">
      <c r="A102" t="s">
        <v>61</v>
      </c>
      <c r="B102" s="12">
        <v>64134</v>
      </c>
      <c r="C102" s="12">
        <v>90180</v>
      </c>
      <c r="D102" s="12">
        <v>118626</v>
      </c>
    </row>
    <row r="103" ht="12.75">
      <c r="A103" t="s">
        <v>62</v>
      </c>
    </row>
    <row r="104" ht="12.75">
      <c r="A104" s="6" t="s">
        <v>63</v>
      </c>
    </row>
    <row r="105" spans="1:4" ht="12.75">
      <c r="A105" s="8" t="s">
        <v>64</v>
      </c>
      <c r="B105" s="13">
        <v>71025</v>
      </c>
      <c r="C105" s="13">
        <v>64540</v>
      </c>
      <c r="D105" s="13">
        <v>65502</v>
      </c>
    </row>
    <row r="106" spans="1:4" ht="12.75">
      <c r="A106" s="8" t="s">
        <v>65</v>
      </c>
      <c r="B106" s="13">
        <v>4229</v>
      </c>
      <c r="C106" s="13">
        <v>9303</v>
      </c>
      <c r="D106" s="13">
        <v>2291</v>
      </c>
    </row>
    <row r="107" spans="1:4" ht="12.75">
      <c r="A107" s="8" t="s">
        <v>66</v>
      </c>
      <c r="B107" s="13">
        <v>6239</v>
      </c>
      <c r="C107" s="13">
        <v>8561</v>
      </c>
      <c r="D107" s="13">
        <v>5880</v>
      </c>
    </row>
    <row r="108" spans="1:4" ht="12.75">
      <c r="A108" s="8" t="s">
        <v>67</v>
      </c>
      <c r="B108" s="13">
        <v>3832</v>
      </c>
      <c r="C108" s="13">
        <v>6587</v>
      </c>
      <c r="D108" s="13">
        <v>11823</v>
      </c>
    </row>
    <row r="109" spans="1:4" ht="12.75">
      <c r="A109" s="8" t="s">
        <v>68</v>
      </c>
      <c r="B109" s="22" t="s">
        <v>1</v>
      </c>
      <c r="C109" s="22" t="s">
        <v>1</v>
      </c>
      <c r="D109" s="22">
        <v>-4983</v>
      </c>
    </row>
    <row r="110" spans="1:4" ht="12.75">
      <c r="A110" s="8" t="s">
        <v>69</v>
      </c>
      <c r="B110" s="22">
        <v>1431</v>
      </c>
      <c r="C110" s="22">
        <v>1223</v>
      </c>
      <c r="D110" s="22">
        <v>882</v>
      </c>
    </row>
    <row r="111" spans="1:4" ht="12.75">
      <c r="A111" s="8" t="s">
        <v>70</v>
      </c>
      <c r="B111" s="22">
        <v>9840</v>
      </c>
      <c r="C111" s="22">
        <v>8051</v>
      </c>
      <c r="D111" s="22">
        <v>-1112</v>
      </c>
    </row>
    <row r="112" spans="1:4" ht="12.75">
      <c r="A112" s="8" t="s">
        <v>71</v>
      </c>
      <c r="B112" s="22">
        <v>2333</v>
      </c>
      <c r="C112" s="22">
        <v>2333</v>
      </c>
      <c r="D112" s="22">
        <v>4016</v>
      </c>
    </row>
    <row r="113" spans="1:4" ht="12.75">
      <c r="A113" s="8" t="s">
        <v>24</v>
      </c>
      <c r="B113" s="22">
        <v>548</v>
      </c>
      <c r="C113" s="22">
        <v>-1534</v>
      </c>
      <c r="D113" s="22">
        <v>-7637</v>
      </c>
    </row>
    <row r="114" spans="1:4" ht="12.75">
      <c r="A114" s="8" t="s">
        <v>72</v>
      </c>
      <c r="B114" s="22">
        <v>21066</v>
      </c>
      <c r="C114" s="22">
        <v>3225</v>
      </c>
      <c r="D114" s="22" t="s">
        <v>1</v>
      </c>
    </row>
    <row r="115" spans="1:4" ht="12.75">
      <c r="A115" s="8" t="s">
        <v>73</v>
      </c>
      <c r="B115" s="22"/>
      <c r="C115" s="22"/>
      <c r="D115" s="22"/>
    </row>
    <row r="116" spans="1:4" ht="12.75">
      <c r="A116" s="9" t="s">
        <v>74</v>
      </c>
      <c r="B116" s="22">
        <v>-43150</v>
      </c>
      <c r="C116" s="22">
        <v>3755</v>
      </c>
      <c r="D116" s="22">
        <v>-66927</v>
      </c>
    </row>
    <row r="117" spans="1:4" ht="12.75">
      <c r="A117" s="9" t="s">
        <v>75</v>
      </c>
      <c r="B117" s="22">
        <v>1300</v>
      </c>
      <c r="C117" s="22">
        <v>-34129</v>
      </c>
      <c r="D117" s="22">
        <v>-13236</v>
      </c>
    </row>
    <row r="118" spans="1:4" ht="12.75">
      <c r="A118" s="9" t="s">
        <v>76</v>
      </c>
      <c r="B118" s="22">
        <v>-24934</v>
      </c>
      <c r="C118" s="22">
        <v>2909</v>
      </c>
      <c r="D118" s="22">
        <v>-6497</v>
      </c>
    </row>
    <row r="119" spans="1:4" ht="12.75">
      <c r="A119" s="9" t="s">
        <v>77</v>
      </c>
      <c r="B119" s="22">
        <v>936</v>
      </c>
      <c r="C119" s="22">
        <v>5856</v>
      </c>
      <c r="D119" s="22">
        <v>-24601</v>
      </c>
    </row>
    <row r="120" spans="1:4" ht="12.75">
      <c r="A120" s="9" t="s">
        <v>20</v>
      </c>
      <c r="B120" s="22">
        <v>18418</v>
      </c>
      <c r="C120" s="22">
        <v>6907</v>
      </c>
      <c r="D120" s="22">
        <v>-60</v>
      </c>
    </row>
    <row r="121" spans="1:4" ht="12.75">
      <c r="A121" s="9" t="s">
        <v>78</v>
      </c>
      <c r="B121" s="36">
        <v>865</v>
      </c>
      <c r="C121" s="36">
        <v>3917</v>
      </c>
      <c r="D121" s="36">
        <v>3156</v>
      </c>
    </row>
    <row r="122" spans="1:4" ht="12.75">
      <c r="A122" s="9" t="s">
        <v>79</v>
      </c>
      <c r="B122" s="13">
        <f>+SUM(B102:B121)</f>
        <v>138112</v>
      </c>
      <c r="C122" s="13">
        <f>+SUM(C102:C121)</f>
        <v>181684</v>
      </c>
      <c r="D122" s="13">
        <f>+SUM(D102:D121)</f>
        <v>87123</v>
      </c>
    </row>
    <row r="123" spans="2:4" ht="12.75">
      <c r="B123" s="13"/>
      <c r="C123" s="13"/>
      <c r="D123" s="13"/>
    </row>
    <row r="124" spans="2:4" ht="12.75">
      <c r="B124" s="13"/>
      <c r="C124" s="13"/>
      <c r="D124" s="13"/>
    </row>
    <row r="125" spans="1:4" ht="12.75">
      <c r="A125" t="s">
        <v>130</v>
      </c>
      <c r="B125" s="13"/>
      <c r="C125" s="13"/>
      <c r="D125" s="13"/>
    </row>
    <row r="126" spans="1:4" ht="12.75">
      <c r="A126" s="6" t="s">
        <v>80</v>
      </c>
      <c r="B126" s="13">
        <v>-68802</v>
      </c>
      <c r="C126" s="13">
        <v>-49330</v>
      </c>
      <c r="D126" s="13">
        <v>-44083</v>
      </c>
    </row>
    <row r="127" spans="1:4" ht="12.75">
      <c r="A127" s="6" t="s">
        <v>81</v>
      </c>
      <c r="B127" s="13">
        <v>-49981</v>
      </c>
      <c r="C127" s="13">
        <v>-45581</v>
      </c>
      <c r="D127" s="13">
        <v>-23876</v>
      </c>
    </row>
    <row r="128" spans="1:4" ht="12.75">
      <c r="A128" s="6" t="s">
        <v>82</v>
      </c>
      <c r="B128" s="13">
        <v>1680</v>
      </c>
      <c r="C128" s="13">
        <v>2707</v>
      </c>
      <c r="D128" s="13">
        <v>2167</v>
      </c>
    </row>
    <row r="129" spans="1:4" ht="12.75">
      <c r="A129" s="6" t="s">
        <v>83</v>
      </c>
      <c r="B129" s="13">
        <v>-1962</v>
      </c>
      <c r="C129" s="13">
        <v>34</v>
      </c>
      <c r="D129" s="13">
        <v>15144</v>
      </c>
    </row>
    <row r="130" spans="1:4" ht="12.75">
      <c r="A130" s="6" t="s">
        <v>84</v>
      </c>
      <c r="B130" s="22" t="s">
        <v>1</v>
      </c>
      <c r="C130" s="22">
        <v>4613</v>
      </c>
      <c r="D130" s="22">
        <v>288</v>
      </c>
    </row>
    <row r="131" spans="1:4" ht="12.75">
      <c r="A131" s="6" t="s">
        <v>85</v>
      </c>
      <c r="B131" s="36" t="s">
        <v>1</v>
      </c>
      <c r="C131" s="36">
        <v>-3238</v>
      </c>
      <c r="D131" s="36">
        <v>0</v>
      </c>
    </row>
    <row r="132" spans="1:4" ht="12.75">
      <c r="A132" s="8" t="s">
        <v>86</v>
      </c>
      <c r="B132" s="22">
        <f>+SUM(B126:B131)</f>
        <v>-119065</v>
      </c>
      <c r="C132" s="22">
        <f>+SUM(C126:C131)</f>
        <v>-90795</v>
      </c>
      <c r="D132" s="22">
        <f>+SUM(D126:D131)</f>
        <v>-50360</v>
      </c>
    </row>
    <row r="133" spans="2:4" ht="12.75">
      <c r="B133" s="22"/>
      <c r="C133" s="22"/>
      <c r="D133" s="22"/>
    </row>
    <row r="134" spans="2:4" ht="12.75">
      <c r="B134" s="22"/>
      <c r="C134" s="22"/>
      <c r="D134" s="22"/>
    </row>
    <row r="135" spans="1:4" ht="12.75">
      <c r="A135" t="s">
        <v>131</v>
      </c>
      <c r="B135" s="22"/>
      <c r="C135" s="22"/>
      <c r="D135" s="22"/>
    </row>
    <row r="136" spans="1:4" ht="12.75">
      <c r="A136" s="6" t="s">
        <v>87</v>
      </c>
      <c r="B136" s="22">
        <v>508177</v>
      </c>
      <c r="C136" s="22">
        <v>3420</v>
      </c>
      <c r="D136" s="22">
        <v>145490</v>
      </c>
    </row>
    <row r="137" spans="1:4" ht="12.75">
      <c r="A137" s="6" t="s">
        <v>88</v>
      </c>
      <c r="B137" s="22">
        <v>19</v>
      </c>
      <c r="C137" s="22">
        <v>5724</v>
      </c>
      <c r="D137" s="22">
        <v>19976</v>
      </c>
    </row>
    <row r="138" spans="1:4" ht="12.75">
      <c r="A138" s="6" t="s">
        <v>89</v>
      </c>
      <c r="B138" s="22">
        <v>12257</v>
      </c>
      <c r="C138" s="22">
        <v>14568</v>
      </c>
      <c r="D138" s="22">
        <v>12894</v>
      </c>
    </row>
    <row r="139" spans="1:4" ht="12.75">
      <c r="A139" s="6" t="s">
        <v>90</v>
      </c>
      <c r="B139" s="22">
        <v>0</v>
      </c>
      <c r="C139" s="22">
        <v>0</v>
      </c>
      <c r="D139" s="22">
        <v>42000</v>
      </c>
    </row>
    <row r="140" spans="1:4" ht="12.75">
      <c r="A140" s="6" t="s">
        <v>91</v>
      </c>
      <c r="B140" s="22">
        <v>-345701</v>
      </c>
      <c r="C140" s="22">
        <v>-105901</v>
      </c>
      <c r="D140" s="22">
        <v>-87632</v>
      </c>
    </row>
    <row r="141" spans="1:4" ht="12.75">
      <c r="A141" s="6" t="s">
        <v>92</v>
      </c>
      <c r="B141" s="22">
        <v>-28</v>
      </c>
      <c r="C141" s="22">
        <v>-7911</v>
      </c>
      <c r="D141" s="22">
        <v>-31695</v>
      </c>
    </row>
    <row r="142" spans="1:4" ht="12.75">
      <c r="A142" s="6" t="s">
        <v>93</v>
      </c>
      <c r="B142" s="22">
        <v>-24002</v>
      </c>
      <c r="C142" s="22">
        <v>-22665</v>
      </c>
      <c r="D142" s="22">
        <v>-21017</v>
      </c>
    </row>
    <row r="143" spans="1:4" ht="12.75">
      <c r="A143" s="6" t="s">
        <v>94</v>
      </c>
      <c r="B143" s="22">
        <v>0</v>
      </c>
      <c r="C143" s="22">
        <v>0</v>
      </c>
      <c r="D143" s="22">
        <v>-15304</v>
      </c>
    </row>
    <row r="144" spans="1:4" ht="12.75">
      <c r="A144" s="6" t="s">
        <v>95</v>
      </c>
      <c r="B144" s="36">
        <v>0</v>
      </c>
      <c r="C144" s="36">
        <v>0</v>
      </c>
      <c r="D144" s="36">
        <v>-28313</v>
      </c>
    </row>
    <row r="145" spans="1:4" ht="12.75">
      <c r="A145" s="8" t="s">
        <v>96</v>
      </c>
      <c r="B145" s="22">
        <f>+SUM(B136:B144)</f>
        <v>150722</v>
      </c>
      <c r="C145" s="22">
        <f>+SUM(C136:C144)</f>
        <v>-112765</v>
      </c>
      <c r="D145" s="22">
        <f>+SUM(D136:D144)</f>
        <v>36399</v>
      </c>
    </row>
    <row r="146" spans="2:4" ht="12.75">
      <c r="B146" s="22"/>
      <c r="C146" s="22"/>
      <c r="D146" s="22"/>
    </row>
    <row r="147" spans="1:4" ht="12.75">
      <c r="A147" t="s">
        <v>97</v>
      </c>
      <c r="B147" s="36">
        <v>279</v>
      </c>
      <c r="C147" s="36">
        <v>-496</v>
      </c>
      <c r="D147" s="36">
        <v>-506</v>
      </c>
    </row>
    <row r="148" spans="1:4" ht="12.75">
      <c r="A148" t="s">
        <v>98</v>
      </c>
      <c r="B148" s="22">
        <f>+B147+B145+B132+B122</f>
        <v>170048</v>
      </c>
      <c r="C148" s="22">
        <f>+C147+C145+C132+C122</f>
        <v>-22372</v>
      </c>
      <c r="D148" s="22">
        <f>+D147+D145+D132+D122</f>
        <v>72656</v>
      </c>
    </row>
    <row r="149" spans="1:4" ht="12.75">
      <c r="A149" t="s">
        <v>99</v>
      </c>
      <c r="B149" s="22">
        <v>155205</v>
      </c>
      <c r="C149" s="22">
        <v>177577</v>
      </c>
      <c r="D149" s="22">
        <v>104921</v>
      </c>
    </row>
    <row r="150" spans="1:4" ht="13.5" thickBot="1">
      <c r="A150" t="s">
        <v>100</v>
      </c>
      <c r="B150" s="37">
        <f>+B148+B149</f>
        <v>325253</v>
      </c>
      <c r="C150" s="37">
        <f>+C148+C149</f>
        <v>155205</v>
      </c>
      <c r="D150" s="37">
        <f>+D148+D149</f>
        <v>177577</v>
      </c>
    </row>
    <row r="151" spans="2:4" ht="13.5" thickTop="1">
      <c r="B151" s="23"/>
      <c r="C151" s="23"/>
      <c r="D151" s="23"/>
    </row>
    <row r="152" spans="2:4" ht="12.75">
      <c r="B152" s="7"/>
      <c r="C152" s="7"/>
      <c r="D152" s="7"/>
    </row>
    <row r="153" ht="12.75">
      <c r="A153" s="28" t="s">
        <v>118</v>
      </c>
    </row>
    <row r="154" spans="1:7" ht="12.75">
      <c r="A154" s="28" t="s">
        <v>126</v>
      </c>
      <c r="G154" s="18"/>
    </row>
    <row r="155" spans="1:7" ht="12.75">
      <c r="A155" s="28" t="s">
        <v>124</v>
      </c>
      <c r="G155" s="18"/>
    </row>
    <row r="156" spans="1:7" ht="12.75">
      <c r="A156" s="28" t="s">
        <v>121</v>
      </c>
      <c r="G156" s="18"/>
    </row>
    <row r="157" ht="12.75">
      <c r="G157" s="18"/>
    </row>
    <row r="158" spans="2:9" ht="12.75">
      <c r="B158" s="20"/>
      <c r="C158" s="20"/>
      <c r="D158" s="20"/>
      <c r="E158" s="20"/>
      <c r="F158" s="20"/>
      <c r="G158" s="20"/>
      <c r="H158" s="20" t="s">
        <v>151</v>
      </c>
      <c r="I158" s="20"/>
    </row>
    <row r="159" spans="2:9" ht="12.75">
      <c r="B159" s="20"/>
      <c r="C159" s="20"/>
      <c r="D159" s="20"/>
      <c r="E159" s="20"/>
      <c r="F159" s="20"/>
      <c r="G159" s="20" t="s">
        <v>149</v>
      </c>
      <c r="H159" s="20" t="s">
        <v>152</v>
      </c>
      <c r="I159" s="20"/>
    </row>
    <row r="160" spans="2:9" ht="12.75">
      <c r="B160" s="71" t="s">
        <v>145</v>
      </c>
      <c r="C160" s="71"/>
      <c r="D160" s="71" t="s">
        <v>146</v>
      </c>
      <c r="E160" s="71"/>
      <c r="F160" s="20" t="s">
        <v>147</v>
      </c>
      <c r="G160" s="20" t="s">
        <v>148</v>
      </c>
      <c r="H160" s="20" t="s">
        <v>153</v>
      </c>
      <c r="I160" s="20"/>
    </row>
    <row r="161" spans="2:9" ht="12.75">
      <c r="B161" s="42" t="s">
        <v>141</v>
      </c>
      <c r="C161" s="42" t="s">
        <v>142</v>
      </c>
      <c r="D161" s="42" t="s">
        <v>141</v>
      </c>
      <c r="E161" s="42" t="s">
        <v>142</v>
      </c>
      <c r="F161" s="42" t="s">
        <v>143</v>
      </c>
      <c r="G161" s="42" t="s">
        <v>150</v>
      </c>
      <c r="H161" s="42" t="s">
        <v>154</v>
      </c>
      <c r="I161" s="42" t="s">
        <v>144</v>
      </c>
    </row>
    <row r="162" ht="12.75">
      <c r="H162" s="18"/>
    </row>
    <row r="163" spans="1:9" ht="12.75">
      <c r="A163" t="s">
        <v>132</v>
      </c>
      <c r="B163">
        <v>1</v>
      </c>
      <c r="C163" s="12">
        <v>1</v>
      </c>
      <c r="D163" s="15">
        <v>76411</v>
      </c>
      <c r="E163" s="12">
        <v>764</v>
      </c>
      <c r="F163" s="12">
        <v>928956</v>
      </c>
      <c r="G163" s="12">
        <v>-295211</v>
      </c>
      <c r="H163" s="12">
        <v>-48346</v>
      </c>
      <c r="I163" s="12">
        <f>+H163+G163+F163+E163+C163</f>
        <v>586164</v>
      </c>
    </row>
    <row r="164" ht="12.75">
      <c r="A164" t="s">
        <v>103</v>
      </c>
    </row>
    <row r="165" spans="1:9" ht="12.75">
      <c r="A165" s="6" t="s">
        <v>52</v>
      </c>
      <c r="B165" s="13"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118626</v>
      </c>
      <c r="H165" s="13">
        <v>0</v>
      </c>
      <c r="I165" s="19">
        <f>+H165+G165+F165+E165+C165</f>
        <v>118626</v>
      </c>
    </row>
    <row r="166" spans="1:9" ht="12.75">
      <c r="A166" s="6" t="s">
        <v>104</v>
      </c>
      <c r="B166" s="13">
        <v>0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-20450</v>
      </c>
      <c r="I166" s="38">
        <f>+H166+G166+F166+E166+C166</f>
        <v>-20450</v>
      </c>
    </row>
    <row r="167" spans="1:9" ht="12.75">
      <c r="A167" s="8" t="s">
        <v>105</v>
      </c>
      <c r="B167" s="13"/>
      <c r="C167" s="13"/>
      <c r="D167" s="13"/>
      <c r="E167" s="13"/>
      <c r="F167" s="13"/>
      <c r="G167" s="13"/>
      <c r="H167" s="13"/>
      <c r="I167" s="19">
        <f>+I165+I166</f>
        <v>98176</v>
      </c>
    </row>
    <row r="168" spans="2:9" ht="12.75">
      <c r="B168" s="13"/>
      <c r="C168" s="13"/>
      <c r="D168" s="13"/>
      <c r="E168" s="13"/>
      <c r="F168" s="13"/>
      <c r="G168" s="13"/>
      <c r="H168" s="13"/>
      <c r="I168" s="19"/>
    </row>
    <row r="169" spans="1:9" ht="12.75">
      <c r="A169" t="s">
        <v>106</v>
      </c>
      <c r="B169" s="13">
        <v>0</v>
      </c>
      <c r="C169" s="13">
        <v>0</v>
      </c>
      <c r="D169" s="13">
        <v>1148</v>
      </c>
      <c r="E169" s="13">
        <v>11</v>
      </c>
      <c r="F169" s="13">
        <v>12883</v>
      </c>
      <c r="G169" s="13">
        <v>0</v>
      </c>
      <c r="H169" s="13">
        <v>0</v>
      </c>
      <c r="I169" s="19">
        <f>+H169+G169+F169+E169+C169</f>
        <v>12894</v>
      </c>
    </row>
    <row r="170" spans="1:9" ht="12.75">
      <c r="A170" t="s">
        <v>107</v>
      </c>
      <c r="B170" s="13">
        <v>0</v>
      </c>
      <c r="C170" s="13">
        <v>0</v>
      </c>
      <c r="D170" s="13">
        <v>0</v>
      </c>
      <c r="E170" s="13">
        <v>0</v>
      </c>
      <c r="F170" s="13">
        <v>5173</v>
      </c>
      <c r="G170" s="13">
        <v>0</v>
      </c>
      <c r="H170" s="13">
        <v>0</v>
      </c>
      <c r="I170" s="19">
        <f>+H170+G170+F170+E170+C170</f>
        <v>5173</v>
      </c>
    </row>
    <row r="171" spans="1:9" ht="12.75">
      <c r="A171" t="s">
        <v>108</v>
      </c>
      <c r="B171" s="13">
        <v>0</v>
      </c>
      <c r="C171" s="13">
        <v>0</v>
      </c>
      <c r="D171" s="13">
        <v>-53</v>
      </c>
      <c r="E171" s="13"/>
      <c r="F171" s="13">
        <v>2043</v>
      </c>
      <c r="G171" s="13">
        <v>0</v>
      </c>
      <c r="H171" s="13">
        <v>0</v>
      </c>
      <c r="I171" s="19">
        <f>+H171+G171+F171+E171+C171</f>
        <v>2043</v>
      </c>
    </row>
    <row r="172" spans="1:9" ht="12.75">
      <c r="A172" t="s">
        <v>109</v>
      </c>
      <c r="B172" s="13">
        <v>-1</v>
      </c>
      <c r="C172" s="13">
        <v>-1</v>
      </c>
      <c r="D172" s="13">
        <v>0</v>
      </c>
      <c r="E172" s="13">
        <v>0</v>
      </c>
      <c r="F172" s="13">
        <v>-28312</v>
      </c>
      <c r="G172" s="13">
        <v>0</v>
      </c>
      <c r="H172" s="13">
        <v>0</v>
      </c>
      <c r="I172" s="19">
        <f>+H172+G172+F172+E172+C172</f>
        <v>-28313</v>
      </c>
    </row>
    <row r="173" spans="1:9" ht="12.75">
      <c r="A173" t="s">
        <v>110</v>
      </c>
      <c r="B173" s="13"/>
      <c r="C173" s="13"/>
      <c r="D173" s="13"/>
      <c r="E173" s="13"/>
      <c r="F173" s="13"/>
      <c r="G173" s="13"/>
      <c r="H173" s="13"/>
      <c r="I173" s="19"/>
    </row>
    <row r="174" spans="1:9" ht="12.75">
      <c r="A174" t="s">
        <v>111</v>
      </c>
      <c r="B174" s="13">
        <v>0</v>
      </c>
      <c r="C174" s="13">
        <v>0</v>
      </c>
      <c r="D174" s="13">
        <v>2041</v>
      </c>
      <c r="E174" s="13">
        <v>20</v>
      </c>
      <c r="F174" s="13">
        <v>41980</v>
      </c>
      <c r="G174" s="13">
        <v>0</v>
      </c>
      <c r="H174" s="13">
        <v>0</v>
      </c>
      <c r="I174" s="19">
        <f>+H174+G174+F174+E174+C174</f>
        <v>42000</v>
      </c>
    </row>
    <row r="175" spans="1:9" ht="12.75">
      <c r="A175" t="s">
        <v>112</v>
      </c>
      <c r="B175" s="13">
        <v>0</v>
      </c>
      <c r="C175" s="13">
        <v>0</v>
      </c>
      <c r="D175" s="13">
        <v>17</v>
      </c>
      <c r="E175" s="13">
        <v>0</v>
      </c>
      <c r="F175" s="13">
        <v>1756</v>
      </c>
      <c r="G175" s="13">
        <v>0</v>
      </c>
      <c r="H175" s="13">
        <v>0</v>
      </c>
      <c r="I175" s="19">
        <f>+H175+G175+F175+E175+C175</f>
        <v>1756</v>
      </c>
    </row>
    <row r="176" spans="1:9" ht="12.75">
      <c r="A176" t="s">
        <v>94</v>
      </c>
      <c r="B176" s="13">
        <v>0</v>
      </c>
      <c r="C176" s="13">
        <v>0</v>
      </c>
      <c r="D176" s="13">
        <v>-614</v>
      </c>
      <c r="E176" s="13">
        <v>-6</v>
      </c>
      <c r="F176" s="13">
        <v>-15298</v>
      </c>
      <c r="G176" s="13">
        <v>0</v>
      </c>
      <c r="H176" s="13">
        <v>0</v>
      </c>
      <c r="I176" s="19">
        <f>+H176+G176+F176+E176+C176</f>
        <v>-15304</v>
      </c>
    </row>
    <row r="177" spans="1:9" ht="12.75">
      <c r="A177" t="s">
        <v>113</v>
      </c>
      <c r="B177" s="29">
        <v>0</v>
      </c>
      <c r="C177" s="29">
        <v>0</v>
      </c>
      <c r="D177" s="29">
        <v>0</v>
      </c>
      <c r="E177" s="29">
        <v>0</v>
      </c>
      <c r="F177" s="29">
        <v>0</v>
      </c>
      <c r="G177" s="29">
        <v>-21017</v>
      </c>
      <c r="H177" s="29">
        <v>0</v>
      </c>
      <c r="I177" s="38">
        <f>+H177+G177+F177+E177+C177</f>
        <v>-21017</v>
      </c>
    </row>
    <row r="178" spans="1:9" ht="12.75">
      <c r="A178" t="s">
        <v>133</v>
      </c>
      <c r="B178" s="13">
        <f aca="true" t="shared" si="17" ref="B178:H178">+SUM(B163:B177)</f>
        <v>0</v>
      </c>
      <c r="C178" s="13">
        <f t="shared" si="17"/>
        <v>0</v>
      </c>
      <c r="D178" s="13">
        <f t="shared" si="17"/>
        <v>78950</v>
      </c>
      <c r="E178" s="13">
        <f t="shared" si="17"/>
        <v>789</v>
      </c>
      <c r="F178" s="13">
        <f t="shared" si="17"/>
        <v>949181</v>
      </c>
      <c r="G178" s="13">
        <f t="shared" si="17"/>
        <v>-197602</v>
      </c>
      <c r="H178" s="13">
        <f t="shared" si="17"/>
        <v>-68796</v>
      </c>
      <c r="I178" s="13">
        <f>+SUM(I167:I177)+I163</f>
        <v>683572</v>
      </c>
    </row>
    <row r="179" spans="1:9" ht="12.75">
      <c r="A179" t="s">
        <v>103</v>
      </c>
      <c r="B179" s="13"/>
      <c r="C179" s="13"/>
      <c r="D179" s="13"/>
      <c r="E179" s="13"/>
      <c r="F179" s="13"/>
      <c r="G179" s="13"/>
      <c r="H179" s="13"/>
      <c r="I179" s="13"/>
    </row>
    <row r="180" spans="1:9" ht="12.75">
      <c r="A180" s="6" t="s">
        <v>52</v>
      </c>
      <c r="B180" s="13">
        <v>0</v>
      </c>
      <c r="C180" s="13">
        <v>0</v>
      </c>
      <c r="D180" s="13">
        <v>0</v>
      </c>
      <c r="E180" s="13">
        <v>0</v>
      </c>
      <c r="F180" s="13">
        <v>0</v>
      </c>
      <c r="G180" s="13">
        <v>90180</v>
      </c>
      <c r="H180" s="13">
        <v>0</v>
      </c>
      <c r="I180" s="19">
        <f>+H180+G180+F180+E180+C180</f>
        <v>90180</v>
      </c>
    </row>
    <row r="181" spans="1:9" ht="12.75">
      <c r="A181" s="6" t="s">
        <v>104</v>
      </c>
      <c r="B181" s="13">
        <v>0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-17882</v>
      </c>
      <c r="I181" s="38">
        <f>+H181+G181+F181+E181+C181</f>
        <v>-17882</v>
      </c>
    </row>
    <row r="182" spans="1:9" ht="12.75">
      <c r="A182" s="8" t="s">
        <v>105</v>
      </c>
      <c r="B182" s="13"/>
      <c r="C182" s="13"/>
      <c r="D182" s="13"/>
      <c r="E182" s="13"/>
      <c r="F182" s="13"/>
      <c r="G182" s="13"/>
      <c r="H182" s="13"/>
      <c r="I182" s="19">
        <f>+I180+I181</f>
        <v>72298</v>
      </c>
    </row>
    <row r="183" spans="2:9" ht="12.75">
      <c r="B183" s="13"/>
      <c r="C183" s="13"/>
      <c r="D183" s="13"/>
      <c r="E183" s="13"/>
      <c r="F183" s="13"/>
      <c r="G183" s="13"/>
      <c r="H183" s="13"/>
      <c r="I183" s="13"/>
    </row>
    <row r="184" spans="1:9" ht="12.75">
      <c r="A184" t="s">
        <v>106</v>
      </c>
      <c r="B184" s="13">
        <v>0</v>
      </c>
      <c r="C184" s="13">
        <v>0</v>
      </c>
      <c r="D184" s="13">
        <v>1193</v>
      </c>
      <c r="E184" s="13">
        <v>12</v>
      </c>
      <c r="F184" s="13">
        <v>14556</v>
      </c>
      <c r="G184" s="13">
        <v>0</v>
      </c>
      <c r="H184" s="13">
        <v>0</v>
      </c>
      <c r="I184" s="19">
        <f aca="true" t="shared" si="18" ref="I184:I189">+H184+G184+F184+E184+C184</f>
        <v>14568</v>
      </c>
    </row>
    <row r="185" spans="1:9" ht="12.75">
      <c r="A185" s="19" t="s">
        <v>114</v>
      </c>
      <c r="B185" s="13">
        <v>0</v>
      </c>
      <c r="C185" s="13">
        <v>0</v>
      </c>
      <c r="D185" s="13">
        <v>0</v>
      </c>
      <c r="E185" s="13">
        <v>0</v>
      </c>
      <c r="F185" s="13">
        <v>2721</v>
      </c>
      <c r="G185" s="13">
        <v>0</v>
      </c>
      <c r="H185" s="13">
        <v>0</v>
      </c>
      <c r="I185" s="19">
        <f t="shared" si="18"/>
        <v>2721</v>
      </c>
    </row>
    <row r="186" spans="1:9" ht="12.75">
      <c r="A186" t="s">
        <v>108</v>
      </c>
      <c r="B186" s="13">
        <v>0</v>
      </c>
      <c r="C186" s="13">
        <v>0</v>
      </c>
      <c r="D186" s="13">
        <v>-25</v>
      </c>
      <c r="E186" s="13">
        <v>0</v>
      </c>
      <c r="F186" s="13">
        <v>1720</v>
      </c>
      <c r="G186" s="13">
        <v>0</v>
      </c>
      <c r="H186" s="13">
        <v>0</v>
      </c>
      <c r="I186" s="19">
        <f t="shared" si="18"/>
        <v>1720</v>
      </c>
    </row>
    <row r="187" spans="1:9" ht="12.75">
      <c r="A187" t="s">
        <v>115</v>
      </c>
      <c r="B187" s="13">
        <v>0</v>
      </c>
      <c r="C187" s="13">
        <v>0</v>
      </c>
      <c r="D187" s="13">
        <v>-46</v>
      </c>
      <c r="E187" s="13">
        <v>0</v>
      </c>
      <c r="F187" s="13">
        <v>-20</v>
      </c>
      <c r="G187" s="13">
        <v>0</v>
      </c>
      <c r="H187" s="13">
        <v>0</v>
      </c>
      <c r="I187" s="19">
        <f t="shared" si="18"/>
        <v>-20</v>
      </c>
    </row>
    <row r="188" spans="1:9" ht="12.75">
      <c r="A188" t="s">
        <v>116</v>
      </c>
      <c r="B188" s="13">
        <v>0</v>
      </c>
      <c r="C188" s="13">
        <v>0</v>
      </c>
      <c r="D188" s="13">
        <v>125</v>
      </c>
      <c r="E188" s="13">
        <v>1</v>
      </c>
      <c r="F188" s="13">
        <v>4999</v>
      </c>
      <c r="G188" s="13">
        <v>0</v>
      </c>
      <c r="H188" s="13">
        <v>0</v>
      </c>
      <c r="I188" s="19">
        <f t="shared" si="18"/>
        <v>5000</v>
      </c>
    </row>
    <row r="189" spans="1:9" ht="12.75">
      <c r="A189" t="s">
        <v>113</v>
      </c>
      <c r="B189" s="29">
        <v>0</v>
      </c>
      <c r="C189" s="29">
        <v>0</v>
      </c>
      <c r="D189" s="29">
        <v>0</v>
      </c>
      <c r="E189" s="29">
        <v>0</v>
      </c>
      <c r="F189" s="29">
        <v>0</v>
      </c>
      <c r="G189" s="29">
        <v>-22665</v>
      </c>
      <c r="H189" s="29">
        <v>0</v>
      </c>
      <c r="I189" s="38">
        <f t="shared" si="18"/>
        <v>-22665</v>
      </c>
    </row>
    <row r="190" spans="1:9" ht="12.75">
      <c r="A190" t="s">
        <v>134</v>
      </c>
      <c r="B190" s="13">
        <f aca="true" t="shared" si="19" ref="B190:G190">+SUM(B178:B189)</f>
        <v>0</v>
      </c>
      <c r="C190" s="13">
        <f t="shared" si="19"/>
        <v>0</v>
      </c>
      <c r="D190" s="13">
        <f t="shared" si="19"/>
        <v>80197</v>
      </c>
      <c r="E190" s="13">
        <f t="shared" si="19"/>
        <v>802</v>
      </c>
      <c r="F190" s="13">
        <f t="shared" si="19"/>
        <v>973157</v>
      </c>
      <c r="G190" s="13">
        <f t="shared" si="19"/>
        <v>-130087</v>
      </c>
      <c r="H190" s="13">
        <f>+SUM(H178:H189)</f>
        <v>-86678</v>
      </c>
      <c r="I190" s="13">
        <f>+SUM(I182:I189)+I178</f>
        <v>757194</v>
      </c>
    </row>
    <row r="191" spans="1:9" ht="12.75">
      <c r="A191" t="s">
        <v>103</v>
      </c>
      <c r="B191" s="13"/>
      <c r="C191" s="13"/>
      <c r="D191" s="13"/>
      <c r="E191" s="13"/>
      <c r="F191" s="13"/>
      <c r="G191" s="13"/>
      <c r="H191" s="13"/>
      <c r="I191" s="13"/>
    </row>
    <row r="192" spans="1:9" ht="12.75">
      <c r="A192" s="6" t="s">
        <v>52</v>
      </c>
      <c r="B192" s="13">
        <v>0</v>
      </c>
      <c r="C192" s="13">
        <v>0</v>
      </c>
      <c r="D192" s="13">
        <v>0</v>
      </c>
      <c r="E192" s="13">
        <v>0</v>
      </c>
      <c r="F192" s="13">
        <v>0</v>
      </c>
      <c r="G192" s="13">
        <v>64134</v>
      </c>
      <c r="H192" s="13">
        <v>0</v>
      </c>
      <c r="I192" s="19">
        <f>+H192+G192+F192+E192+C192</f>
        <v>64134</v>
      </c>
    </row>
    <row r="193" spans="1:9" ht="12.75">
      <c r="A193" s="6" t="s">
        <v>104</v>
      </c>
      <c r="B193" s="13">
        <v>0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-2610</v>
      </c>
      <c r="I193" s="38">
        <f>+H193+G193+F193+E193+C193</f>
        <v>-2610</v>
      </c>
    </row>
    <row r="194" spans="1:9" ht="12.75">
      <c r="A194" s="8" t="s">
        <v>105</v>
      </c>
      <c r="B194" s="13"/>
      <c r="C194" s="13"/>
      <c r="D194" s="13"/>
      <c r="E194" s="13"/>
      <c r="F194" s="13"/>
      <c r="G194" s="13"/>
      <c r="H194" s="13"/>
      <c r="I194" s="19">
        <f>+I192+I193</f>
        <v>61524</v>
      </c>
    </row>
    <row r="195" spans="2:9" ht="12.75">
      <c r="B195" s="13"/>
      <c r="C195" s="13"/>
      <c r="D195" s="13"/>
      <c r="E195" s="13"/>
      <c r="F195" s="13"/>
      <c r="G195" s="13"/>
      <c r="H195" s="13"/>
      <c r="I195" s="13"/>
    </row>
    <row r="196" spans="1:9" ht="12.75">
      <c r="A196" t="s">
        <v>106</v>
      </c>
      <c r="B196" s="13">
        <v>0</v>
      </c>
      <c r="C196" s="13">
        <v>0</v>
      </c>
      <c r="D196" s="13">
        <v>1412</v>
      </c>
      <c r="E196" s="13">
        <v>14</v>
      </c>
      <c r="F196" s="13">
        <v>12243</v>
      </c>
      <c r="G196" s="13">
        <v>0</v>
      </c>
      <c r="H196" s="13">
        <v>0</v>
      </c>
      <c r="I196" s="19">
        <f aca="true" t="shared" si="20" ref="I196:I202">+H196+G196+F196+E196+C196</f>
        <v>12257</v>
      </c>
    </row>
    <row r="197" spans="1:9" ht="12.75">
      <c r="A197" s="19" t="s">
        <v>114</v>
      </c>
      <c r="B197" s="13">
        <v>0</v>
      </c>
      <c r="C197" s="13">
        <v>0</v>
      </c>
      <c r="D197" s="13">
        <v>0</v>
      </c>
      <c r="E197" s="13">
        <v>0</v>
      </c>
      <c r="F197" s="13">
        <v>7844</v>
      </c>
      <c r="G197" s="13">
        <v>0</v>
      </c>
      <c r="H197" s="13">
        <v>0</v>
      </c>
      <c r="I197" s="19">
        <f t="shared" si="20"/>
        <v>7844</v>
      </c>
    </row>
    <row r="198" spans="1:9" ht="12.75">
      <c r="A198" t="s">
        <v>108</v>
      </c>
      <c r="B198" s="13">
        <v>0</v>
      </c>
      <c r="C198" s="13">
        <v>0</v>
      </c>
      <c r="D198" s="13">
        <v>-25</v>
      </c>
      <c r="E198" s="13">
        <v>0</v>
      </c>
      <c r="F198" s="13">
        <v>1682</v>
      </c>
      <c r="G198" s="13">
        <v>0</v>
      </c>
      <c r="H198" s="13">
        <v>0</v>
      </c>
      <c r="I198" s="19">
        <f t="shared" si="20"/>
        <v>1682</v>
      </c>
    </row>
    <row r="199" spans="1:9" ht="12.75">
      <c r="A199" t="s">
        <v>109</v>
      </c>
      <c r="B199" s="13">
        <v>0</v>
      </c>
      <c r="C199" s="13"/>
      <c r="D199" s="13">
        <v>93</v>
      </c>
      <c r="E199" s="13">
        <v>1</v>
      </c>
      <c r="F199" s="13">
        <v>-1</v>
      </c>
      <c r="G199" s="13">
        <v>0</v>
      </c>
      <c r="H199" s="13">
        <v>0</v>
      </c>
      <c r="I199" s="13">
        <v>0</v>
      </c>
    </row>
    <row r="200" spans="1:9" ht="12.75">
      <c r="A200" t="s">
        <v>116</v>
      </c>
      <c r="B200" s="13">
        <v>0</v>
      </c>
      <c r="C200" s="13">
        <v>0</v>
      </c>
      <c r="D200" s="13">
        <v>12</v>
      </c>
      <c r="E200" s="13">
        <v>0</v>
      </c>
      <c r="F200" s="13">
        <v>318</v>
      </c>
      <c r="G200" s="13">
        <v>0</v>
      </c>
      <c r="H200" s="13">
        <v>0</v>
      </c>
      <c r="I200" s="19">
        <f t="shared" si="20"/>
        <v>318</v>
      </c>
    </row>
    <row r="201" spans="1:9" ht="12.75">
      <c r="A201" t="s">
        <v>113</v>
      </c>
      <c r="B201" s="13">
        <v>0</v>
      </c>
      <c r="C201" s="13">
        <v>0</v>
      </c>
      <c r="D201" s="13">
        <v>0</v>
      </c>
      <c r="E201" s="13">
        <v>0</v>
      </c>
      <c r="F201" s="13">
        <v>0</v>
      </c>
      <c r="G201" s="13">
        <v>-24002</v>
      </c>
      <c r="H201" s="13">
        <v>0</v>
      </c>
      <c r="I201" s="19">
        <f t="shared" si="20"/>
        <v>-24002</v>
      </c>
    </row>
    <row r="202" spans="1:9" ht="12.75">
      <c r="A202" t="s">
        <v>117</v>
      </c>
      <c r="B202" s="13">
        <v>0</v>
      </c>
      <c r="C202" s="13">
        <v>0</v>
      </c>
      <c r="D202" s="13">
        <v>0</v>
      </c>
      <c r="E202" s="13">
        <v>0</v>
      </c>
      <c r="F202" s="13">
        <v>0</v>
      </c>
      <c r="G202" s="13">
        <v>-6100</v>
      </c>
      <c r="H202" s="13">
        <v>0</v>
      </c>
      <c r="I202" s="19">
        <f t="shared" si="20"/>
        <v>-6100</v>
      </c>
    </row>
    <row r="203" spans="1:9" ht="13.5" thickBot="1">
      <c r="A203" t="s">
        <v>135</v>
      </c>
      <c r="B203" s="39">
        <f>+SUM(B190:B202)</f>
        <v>0</v>
      </c>
      <c r="C203" s="39">
        <f aca="true" t="shared" si="21" ref="C203:H203">+SUM(C190:C202)</f>
        <v>0</v>
      </c>
      <c r="D203" s="39">
        <f t="shared" si="21"/>
        <v>81689</v>
      </c>
      <c r="E203" s="40">
        <f t="shared" si="21"/>
        <v>817</v>
      </c>
      <c r="F203" s="40">
        <f t="shared" si="21"/>
        <v>995243</v>
      </c>
      <c r="G203" s="40">
        <f t="shared" si="21"/>
        <v>-96055</v>
      </c>
      <c r="H203" s="40">
        <f t="shared" si="21"/>
        <v>-89288</v>
      </c>
      <c r="I203" s="40">
        <f>+SUM(I194:I202)+I190</f>
        <v>810717</v>
      </c>
    </row>
    <row r="204" ht="13.5" thickTop="1">
      <c r="A204" t="s">
        <v>325</v>
      </c>
    </row>
    <row r="205" ht="12.75">
      <c r="A205" s="69"/>
    </row>
    <row r="206" ht="12.75">
      <c r="B206" s="70"/>
    </row>
    <row r="211" ht="12.75">
      <c r="C211" s="4"/>
    </row>
    <row r="215" ht="12.75">
      <c r="C215" s="4"/>
    </row>
    <row r="216" ht="12.75">
      <c r="C216" s="4"/>
    </row>
    <row r="218" ht="12.75">
      <c r="C218" s="1"/>
    </row>
  </sheetData>
  <mergeCells count="2">
    <mergeCell ref="B160:C160"/>
    <mergeCell ref="D160:E160"/>
  </mergeCells>
  <printOptions/>
  <pageMargins left="0.75" right="0.75" top="1" bottom="1" header="0.5" footer="0.5"/>
  <pageSetup horizontalDpi="300" verticalDpi="300" orientation="landscape" scale="54" r:id="rId1"/>
  <headerFooter alignWithMargins="0">
    <oddHeader>&amp;LICN's Common-size and Percentage-change Financial Statements</oddHeader>
    <oddFooter>&amp;LCopyright ©2007 Cardean Learning Group LLC. All rights reserved.</oddFooter>
  </headerFooter>
  <rowBreaks count="3" manualBreakCount="3">
    <brk id="50" max="14" man="1"/>
    <brk id="92" max="14" man="1"/>
    <brk id="15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="75" zoomScaleSheetLayoutView="75" workbookViewId="0" topLeftCell="A52">
      <selection activeCell="B85" sqref="B85"/>
    </sheetView>
  </sheetViews>
  <sheetFormatPr defaultColWidth="9.140625" defaultRowHeight="12.75"/>
  <cols>
    <col min="1" max="1" width="40.140625" style="0" customWidth="1"/>
    <col min="2" max="2" width="47.00390625" style="0" customWidth="1"/>
    <col min="3" max="3" width="2.421875" style="0" customWidth="1"/>
    <col min="4" max="4" width="15.140625" style="0" customWidth="1"/>
    <col min="5" max="5" width="2.7109375" style="0" customWidth="1"/>
    <col min="6" max="6" width="15.140625" style="0" customWidth="1"/>
    <col min="7" max="7" width="2.7109375" style="0" customWidth="1"/>
    <col min="8" max="8" width="15.140625" style="0" customWidth="1"/>
  </cols>
  <sheetData>
    <row r="1" ht="12.75">
      <c r="C1" s="53"/>
    </row>
    <row r="2" ht="12.75">
      <c r="C2" s="53"/>
    </row>
    <row r="3" ht="12.75">
      <c r="C3" s="41"/>
    </row>
    <row r="4" ht="12.75">
      <c r="C4" s="53"/>
    </row>
    <row r="5" ht="12.75">
      <c r="C5" s="41"/>
    </row>
    <row r="7" ht="12.75">
      <c r="A7" s="28" t="s">
        <v>155</v>
      </c>
    </row>
    <row r="8" ht="12.75">
      <c r="A8" s="28" t="s">
        <v>206</v>
      </c>
    </row>
    <row r="9" ht="12.75">
      <c r="A9" s="28" t="s">
        <v>121</v>
      </c>
    </row>
    <row r="10" spans="1:8" ht="12.75">
      <c r="A10" s="28"/>
      <c r="B10" s="28"/>
      <c r="C10" s="28"/>
      <c r="D10" s="51" t="s">
        <v>156</v>
      </c>
      <c r="E10" s="51"/>
      <c r="F10" s="51" t="s">
        <v>156</v>
      </c>
      <c r="G10" s="51"/>
      <c r="H10" s="51" t="s">
        <v>156</v>
      </c>
    </row>
    <row r="11" spans="1:8" ht="12.75">
      <c r="A11" s="28"/>
      <c r="B11" s="28"/>
      <c r="C11" s="28"/>
      <c r="D11" s="51" t="s">
        <v>157</v>
      </c>
      <c r="E11" s="51"/>
      <c r="F11" s="51" t="s">
        <v>157</v>
      </c>
      <c r="G11" s="51"/>
      <c r="H11" s="51" t="s">
        <v>157</v>
      </c>
    </row>
    <row r="12" spans="1:8" ht="12.75">
      <c r="A12" s="54" t="s">
        <v>177</v>
      </c>
      <c r="B12" s="28"/>
      <c r="C12" s="28"/>
      <c r="D12" s="52">
        <v>2001</v>
      </c>
      <c r="E12" s="52"/>
      <c r="F12" s="52">
        <v>2000</v>
      </c>
      <c r="G12" s="52"/>
      <c r="H12" s="52">
        <v>1999</v>
      </c>
    </row>
    <row r="13" spans="1:8" ht="12.75">
      <c r="A13" t="s">
        <v>158</v>
      </c>
      <c r="D13" s="44">
        <v>64134</v>
      </c>
      <c r="E13" s="44"/>
      <c r="F13" s="44">
        <v>90180</v>
      </c>
      <c r="G13" s="44"/>
      <c r="H13" s="44">
        <v>118626</v>
      </c>
    </row>
    <row r="14" spans="4:8" ht="12.75">
      <c r="D14" s="44"/>
      <c r="E14" s="44"/>
      <c r="F14" s="44"/>
      <c r="G14" s="44"/>
      <c r="H14" s="44"/>
    </row>
    <row r="15" spans="1:8" ht="12.75">
      <c r="A15" t="s">
        <v>159</v>
      </c>
      <c r="D15" s="44">
        <v>1754365</v>
      </c>
      <c r="E15" s="44"/>
      <c r="F15" s="44">
        <v>1477072</v>
      </c>
      <c r="G15" s="44"/>
      <c r="H15" s="45" t="s">
        <v>160</v>
      </c>
    </row>
    <row r="16" spans="4:8" ht="12.75">
      <c r="D16" s="44"/>
      <c r="E16" s="44"/>
      <c r="F16" s="44"/>
      <c r="G16" s="44"/>
      <c r="H16" s="44"/>
    </row>
    <row r="17" spans="1:8" ht="12.75">
      <c r="A17" t="s">
        <v>178</v>
      </c>
      <c r="D17" s="44">
        <v>772929</v>
      </c>
      <c r="E17" s="44"/>
      <c r="F17" s="44">
        <v>565416</v>
      </c>
      <c r="G17" s="44"/>
      <c r="H17" s="45" t="s">
        <v>160</v>
      </c>
    </row>
    <row r="18" spans="4:8" ht="12.75">
      <c r="D18" s="44"/>
      <c r="E18" s="44"/>
      <c r="F18" s="44"/>
      <c r="G18" s="44"/>
      <c r="H18" s="44"/>
    </row>
    <row r="19" spans="1:8" ht="12.75">
      <c r="A19" t="s">
        <v>179</v>
      </c>
      <c r="D19" s="44">
        <v>161480</v>
      </c>
      <c r="E19" s="44"/>
      <c r="F19" s="44">
        <v>158777</v>
      </c>
      <c r="G19" s="44"/>
      <c r="H19" s="45" t="s">
        <v>160</v>
      </c>
    </row>
    <row r="20" spans="4:8" ht="12.75">
      <c r="D20" s="44"/>
      <c r="E20" s="44"/>
      <c r="F20" s="44"/>
      <c r="G20" s="44"/>
      <c r="H20" s="44"/>
    </row>
    <row r="21" spans="1:8" ht="12.75">
      <c r="A21" t="s">
        <v>6</v>
      </c>
      <c r="D21" s="44">
        <v>325253</v>
      </c>
      <c r="E21" s="44"/>
      <c r="F21" s="44">
        <v>155205</v>
      </c>
      <c r="G21" s="44"/>
      <c r="H21" s="45" t="s">
        <v>160</v>
      </c>
    </row>
    <row r="22" spans="4:8" ht="12.75">
      <c r="D22" s="44"/>
      <c r="E22" s="44"/>
      <c r="F22" s="44"/>
      <c r="G22" s="44"/>
      <c r="H22" s="44"/>
    </row>
    <row r="23" spans="1:8" ht="12.75">
      <c r="A23" t="s">
        <v>161</v>
      </c>
      <c r="D23" s="44">
        <v>2342</v>
      </c>
      <c r="E23" s="44"/>
      <c r="F23" s="44">
        <v>380</v>
      </c>
      <c r="G23" s="44"/>
      <c r="H23" s="45" t="s">
        <v>160</v>
      </c>
    </row>
    <row r="24" spans="4:8" ht="12.75">
      <c r="D24" s="44"/>
      <c r="E24" s="44"/>
      <c r="F24" s="44"/>
      <c r="G24" s="44"/>
      <c r="H24" s="44"/>
    </row>
    <row r="25" spans="1:8" ht="12.75">
      <c r="A25" t="s">
        <v>162</v>
      </c>
      <c r="D25" s="44">
        <v>266879</v>
      </c>
      <c r="E25" s="44"/>
      <c r="F25" s="44">
        <v>225639</v>
      </c>
      <c r="G25" s="44"/>
      <c r="H25" s="45" t="s">
        <v>160</v>
      </c>
    </row>
    <row r="26" spans="4:8" ht="12.75">
      <c r="D26" s="44"/>
      <c r="E26" s="44"/>
      <c r="F26" s="44"/>
      <c r="G26" s="44"/>
      <c r="H26" s="44"/>
    </row>
    <row r="27" spans="1:8" ht="12.75">
      <c r="A27" t="s">
        <v>163</v>
      </c>
      <c r="D27" s="44">
        <v>163930</v>
      </c>
      <c r="E27" s="44"/>
      <c r="F27" s="44">
        <v>170263</v>
      </c>
      <c r="G27" s="44"/>
      <c r="H27" s="45" t="s">
        <v>160</v>
      </c>
    </row>
    <row r="28" spans="4:8" ht="12.75">
      <c r="D28" s="44"/>
      <c r="E28" s="44"/>
      <c r="F28" s="44"/>
      <c r="G28" s="44"/>
      <c r="H28" s="44"/>
    </row>
    <row r="29" spans="1:8" ht="12.75">
      <c r="A29" t="s">
        <v>180</v>
      </c>
      <c r="D29" s="44">
        <v>55793</v>
      </c>
      <c r="E29" s="44"/>
      <c r="F29" s="44">
        <v>60356</v>
      </c>
      <c r="G29" s="44"/>
      <c r="H29" s="44">
        <v>55943</v>
      </c>
    </row>
    <row r="30" spans="4:8" ht="12.75">
      <c r="D30" s="44"/>
      <c r="E30" s="44"/>
      <c r="F30" s="44"/>
      <c r="G30" s="44"/>
      <c r="H30" s="44"/>
    </row>
    <row r="31" spans="1:8" ht="12.75">
      <c r="A31" t="s">
        <v>181</v>
      </c>
      <c r="D31" s="44">
        <v>58609</v>
      </c>
      <c r="E31" s="44"/>
      <c r="F31" s="44">
        <v>37683</v>
      </c>
      <c r="G31" s="44"/>
      <c r="H31" s="44">
        <v>28996</v>
      </c>
    </row>
    <row r="32" spans="4:8" ht="12.75">
      <c r="D32" s="44"/>
      <c r="E32" s="44"/>
      <c r="F32" s="44"/>
      <c r="G32" s="44"/>
      <c r="H32" s="44"/>
    </row>
    <row r="33" spans="1:8" ht="12.75">
      <c r="A33" t="s">
        <v>164</v>
      </c>
      <c r="D33" s="44">
        <v>858104</v>
      </c>
      <c r="E33" s="44"/>
      <c r="F33" s="44">
        <v>800304</v>
      </c>
      <c r="G33" s="44"/>
      <c r="H33" s="44">
        <v>747412</v>
      </c>
    </row>
    <row r="34" spans="4:8" ht="12.75">
      <c r="D34" s="44"/>
      <c r="E34" s="44"/>
      <c r="F34" s="44"/>
      <c r="G34" s="44"/>
      <c r="H34" s="44"/>
    </row>
    <row r="35" spans="1:8" ht="12.75">
      <c r="A35" t="s">
        <v>165</v>
      </c>
      <c r="D35" s="44">
        <v>810717</v>
      </c>
      <c r="E35" s="44"/>
      <c r="F35" s="44">
        <v>757194</v>
      </c>
      <c r="G35" s="44"/>
      <c r="H35" s="45">
        <v>683572</v>
      </c>
    </row>
    <row r="36" spans="4:8" ht="12.75">
      <c r="D36" s="44"/>
      <c r="E36" s="44"/>
      <c r="F36" s="44"/>
      <c r="G36" s="44"/>
      <c r="H36" s="44"/>
    </row>
    <row r="37" spans="1:8" ht="12.75">
      <c r="A37" t="s">
        <v>182</v>
      </c>
      <c r="D37" s="44">
        <v>285736</v>
      </c>
      <c r="E37" s="44"/>
      <c r="F37" s="44">
        <v>262818</v>
      </c>
      <c r="G37" s="44"/>
      <c r="H37" s="44">
        <v>256146</v>
      </c>
    </row>
    <row r="38" spans="4:8" ht="12.75">
      <c r="D38" s="44"/>
      <c r="E38" s="44"/>
      <c r="F38" s="44"/>
      <c r="G38" s="44"/>
      <c r="H38" s="44"/>
    </row>
    <row r="39" spans="1:8" ht="12.75">
      <c r="A39" t="s">
        <v>166</v>
      </c>
      <c r="D39" s="44">
        <f>+D37+D27-F27</f>
        <v>279403</v>
      </c>
      <c r="E39" s="44"/>
      <c r="F39" s="45" t="s">
        <v>160</v>
      </c>
      <c r="G39" s="44"/>
      <c r="H39" s="45" t="s">
        <v>160</v>
      </c>
    </row>
    <row r="40" spans="4:8" ht="12.75">
      <c r="D40" s="44"/>
      <c r="E40" s="44"/>
      <c r="F40" s="44"/>
      <c r="G40" s="44"/>
      <c r="H40" s="44"/>
    </row>
    <row r="41" spans="1:8" ht="12.75">
      <c r="A41" t="s">
        <v>205</v>
      </c>
      <c r="D41" s="44">
        <v>55719</v>
      </c>
      <c r="E41" s="44"/>
      <c r="F41" s="44">
        <v>61741</v>
      </c>
      <c r="G41" s="44"/>
      <c r="H41" s="45" t="s">
        <v>160</v>
      </c>
    </row>
    <row r="42" spans="4:8" ht="12.75">
      <c r="D42" s="44"/>
      <c r="E42" s="44"/>
      <c r="F42" s="44"/>
      <c r="G42" s="44"/>
      <c r="H42" s="44"/>
    </row>
    <row r="43" spans="1:8" ht="12.75">
      <c r="A43" t="s">
        <v>183</v>
      </c>
      <c r="D43" s="44">
        <f>+D15-D35</f>
        <v>943648</v>
      </c>
      <c r="E43" s="44"/>
      <c r="F43" s="44">
        <f>+F15-F35</f>
        <v>719878</v>
      </c>
      <c r="G43" s="44"/>
      <c r="H43" s="45" t="s">
        <v>160</v>
      </c>
    </row>
    <row r="44" spans="4:8" ht="12.75">
      <c r="D44" s="44"/>
      <c r="E44" s="44"/>
      <c r="F44" s="44"/>
      <c r="G44" s="44"/>
      <c r="H44" s="44"/>
    </row>
    <row r="45" spans="1:8" ht="12.75">
      <c r="A45" t="s">
        <v>184</v>
      </c>
      <c r="D45" s="44">
        <v>138112</v>
      </c>
      <c r="E45" s="44"/>
      <c r="F45" s="44">
        <v>181684</v>
      </c>
      <c r="G45" s="44"/>
      <c r="H45" s="44">
        <v>87123</v>
      </c>
    </row>
    <row r="48" spans="1:8" ht="12.75">
      <c r="A48" s="54" t="s">
        <v>210</v>
      </c>
      <c r="B48" s="54" t="s">
        <v>167</v>
      </c>
      <c r="C48" s="43"/>
      <c r="D48" s="54">
        <v>2001</v>
      </c>
      <c r="E48" s="43"/>
      <c r="F48" s="54">
        <v>2000</v>
      </c>
      <c r="G48" s="43"/>
      <c r="H48" s="54">
        <v>1999</v>
      </c>
    </row>
    <row r="49" spans="1:8" ht="12.75">
      <c r="A49" t="s">
        <v>168</v>
      </c>
      <c r="B49" t="s">
        <v>207</v>
      </c>
      <c r="D49" s="46">
        <f>+D17/D19</f>
        <v>4.786530839732475</v>
      </c>
      <c r="E49" s="47"/>
      <c r="F49" s="46">
        <f>+F17/F19</f>
        <v>3.5610699282641693</v>
      </c>
      <c r="H49" s="17" t="s">
        <v>160</v>
      </c>
    </row>
    <row r="50" spans="1:8" ht="12.75">
      <c r="A50" s="48"/>
      <c r="B50" s="48"/>
      <c r="D50" s="46"/>
      <c r="E50" s="47"/>
      <c r="F50" s="46"/>
      <c r="H50" s="46"/>
    </row>
    <row r="51" spans="1:8" ht="12.75">
      <c r="A51" t="s">
        <v>169</v>
      </c>
      <c r="B51" t="s">
        <v>192</v>
      </c>
      <c r="D51" s="49">
        <f>(+D21+D23+D25)/+D19</f>
        <v>3.681409462472133</v>
      </c>
      <c r="E51" s="47"/>
      <c r="F51" s="49">
        <f>(+F21+F23+F25)/+F19</f>
        <v>2.40100266411382</v>
      </c>
      <c r="H51" s="17" t="s">
        <v>160</v>
      </c>
    </row>
    <row r="52" spans="1:8" ht="12.75">
      <c r="A52" s="48"/>
      <c r="B52" s="48"/>
      <c r="D52" s="11"/>
      <c r="F52" s="11"/>
      <c r="H52" s="11"/>
    </row>
    <row r="53" spans="1:8" ht="12.75">
      <c r="A53" t="s">
        <v>170</v>
      </c>
      <c r="B53" t="s">
        <v>193</v>
      </c>
      <c r="D53" s="50">
        <f>+D13/((+D15+F15)/2)</f>
        <v>0.039693795670471065</v>
      </c>
      <c r="E53" s="50"/>
      <c r="F53" s="17" t="s">
        <v>160</v>
      </c>
      <c r="H53" s="17" t="s">
        <v>160</v>
      </c>
    </row>
    <row r="55" spans="1:8" ht="12.75">
      <c r="A55" t="s">
        <v>171</v>
      </c>
      <c r="B55" t="s">
        <v>172</v>
      </c>
      <c r="D55" s="47">
        <f>(+D13+D29+D31)/D33</f>
        <v>0.20805869684793452</v>
      </c>
      <c r="E55" s="47"/>
      <c r="F55" s="47">
        <f>(+F13+F29+F31)/F33</f>
        <v>0.23518437993562447</v>
      </c>
      <c r="H55" s="47">
        <f>(+H13+H29+H31)/H33</f>
        <v>0.2723598229624357</v>
      </c>
    </row>
    <row r="56" spans="4:6" ht="12.75">
      <c r="D56" s="47"/>
      <c r="E56" s="47"/>
      <c r="F56" s="47"/>
    </row>
    <row r="57" spans="1:8" ht="12.75">
      <c r="A57" t="s">
        <v>173</v>
      </c>
      <c r="B57" t="s">
        <v>194</v>
      </c>
      <c r="D57" s="2">
        <f>+D13/((D35+F35)/2)</f>
        <v>0.08180821487954354</v>
      </c>
      <c r="E57" s="2"/>
      <c r="F57" s="2">
        <f>+F13/((F35+H35)/2)</f>
        <v>0.12518340938084324</v>
      </c>
      <c r="H57" s="17" t="s">
        <v>160</v>
      </c>
    </row>
    <row r="58" spans="4:6" ht="12.75">
      <c r="D58" s="47"/>
      <c r="E58" s="47"/>
      <c r="F58" s="47"/>
    </row>
    <row r="59" spans="1:8" ht="12.75">
      <c r="A59" t="s">
        <v>174</v>
      </c>
      <c r="B59" t="s">
        <v>195</v>
      </c>
      <c r="D59" s="47">
        <f>(+D33-D37)/+D33</f>
        <v>0.66701472082638</v>
      </c>
      <c r="E59" s="47"/>
      <c r="F59" s="47">
        <f>(+F33-F37)/+F33</f>
        <v>0.6716022911293709</v>
      </c>
      <c r="H59" s="47">
        <f>(+H33-H37)/+H33</f>
        <v>0.6572894200253675</v>
      </c>
    </row>
    <row r="60" spans="4:6" ht="12.75">
      <c r="D60" s="47"/>
      <c r="E60" s="47"/>
      <c r="F60" s="47"/>
    </row>
    <row r="61" spans="1:8" ht="12.75">
      <c r="A61" t="s">
        <v>185</v>
      </c>
      <c r="B61" t="s">
        <v>196</v>
      </c>
      <c r="D61" s="47">
        <f>+D33/((+D15+F15)/2)</f>
        <v>0.5310974653072302</v>
      </c>
      <c r="E61" s="47"/>
      <c r="F61" s="49" t="s">
        <v>160</v>
      </c>
      <c r="H61" s="49" t="s">
        <v>160</v>
      </c>
    </row>
    <row r="62" spans="4:8" ht="12.75">
      <c r="D62" s="47"/>
      <c r="E62" s="47"/>
      <c r="F62" s="47"/>
      <c r="H62" s="47"/>
    </row>
    <row r="63" spans="1:8" ht="12.75">
      <c r="A63" t="s">
        <v>186</v>
      </c>
      <c r="B63" t="s">
        <v>197</v>
      </c>
      <c r="D63" s="47">
        <f>+D37/+((D27+F27)/2)</f>
        <v>1.7100058947973178</v>
      </c>
      <c r="E63" s="47"/>
      <c r="F63" s="49" t="s">
        <v>160</v>
      </c>
      <c r="H63" s="49" t="s">
        <v>160</v>
      </c>
    </row>
    <row r="64" spans="4:8" ht="12.75">
      <c r="D64" s="47"/>
      <c r="E64" s="47"/>
      <c r="F64" s="47"/>
      <c r="H64" s="47"/>
    </row>
    <row r="65" spans="1:8" ht="12.75">
      <c r="A65" t="s">
        <v>175</v>
      </c>
      <c r="B65" t="s">
        <v>198</v>
      </c>
      <c r="D65" s="47">
        <f>365/D63</f>
        <v>213.44955658369963</v>
      </c>
      <c r="E65" s="47"/>
      <c r="F65" s="49" t="s">
        <v>160</v>
      </c>
      <c r="H65" s="49" t="s">
        <v>160</v>
      </c>
    </row>
    <row r="66" spans="4:8" ht="12.75">
      <c r="D66" s="47"/>
      <c r="E66" s="47"/>
      <c r="F66" s="47"/>
      <c r="H66" s="47"/>
    </row>
    <row r="67" spans="1:8" ht="12.75">
      <c r="A67" t="s">
        <v>187</v>
      </c>
      <c r="B67" t="s">
        <v>199</v>
      </c>
      <c r="D67" s="47">
        <f>+D33/+((D25+F25)/2)</f>
        <v>3.4845589399778283</v>
      </c>
      <c r="E67" s="47"/>
      <c r="F67" s="49" t="s">
        <v>160</v>
      </c>
      <c r="H67" s="49" t="s">
        <v>160</v>
      </c>
    </row>
    <row r="68" spans="4:8" ht="12.75">
      <c r="D68" s="47"/>
      <c r="E68" s="47"/>
      <c r="F68" s="47"/>
      <c r="H68" s="47"/>
    </row>
    <row r="69" spans="1:8" ht="12.75">
      <c r="A69" t="s">
        <v>188</v>
      </c>
      <c r="B69" t="s">
        <v>200</v>
      </c>
      <c r="D69" s="47">
        <f>365/+D67</f>
        <v>104.74783359592776</v>
      </c>
      <c r="E69" s="47"/>
      <c r="F69" s="49" t="s">
        <v>160</v>
      </c>
      <c r="H69" s="49" t="s">
        <v>160</v>
      </c>
    </row>
    <row r="70" spans="4:8" ht="12.75">
      <c r="D70" s="47"/>
      <c r="E70" s="47"/>
      <c r="F70" s="47"/>
      <c r="H70" s="47"/>
    </row>
    <row r="71" spans="1:8" ht="12.75">
      <c r="A71" t="s">
        <v>189</v>
      </c>
      <c r="B71" t="s">
        <v>201</v>
      </c>
      <c r="D71" s="47">
        <f>(+D37+D27-F27)/((D41+F41)/2)</f>
        <v>4.757415290311595</v>
      </c>
      <c r="E71" s="47"/>
      <c r="F71" s="49" t="s">
        <v>160</v>
      </c>
      <c r="H71" s="49" t="s">
        <v>160</v>
      </c>
    </row>
    <row r="72" spans="4:8" ht="12.75">
      <c r="D72" s="47"/>
      <c r="E72" s="47"/>
      <c r="F72" s="47"/>
      <c r="H72" s="47"/>
    </row>
    <row r="73" spans="1:8" ht="12.75">
      <c r="A73" t="s">
        <v>190</v>
      </c>
      <c r="B73" t="s">
        <v>202</v>
      </c>
      <c r="D73" s="47">
        <f>365/D71</f>
        <v>76.72233297423435</v>
      </c>
      <c r="E73" s="47"/>
      <c r="F73" s="49" t="s">
        <v>160</v>
      </c>
      <c r="H73" s="49" t="s">
        <v>160</v>
      </c>
    </row>
    <row r="74" spans="4:8" ht="12.75">
      <c r="D74" s="47"/>
      <c r="E74" s="47"/>
      <c r="F74" s="47"/>
      <c r="H74" s="47"/>
    </row>
    <row r="75" spans="1:8" ht="12.75">
      <c r="A75" t="s">
        <v>208</v>
      </c>
      <c r="B75" t="s">
        <v>203</v>
      </c>
      <c r="D75" s="47">
        <f>+D45/((D19+F19)/2)</f>
        <v>0.8625072988256307</v>
      </c>
      <c r="E75" s="47"/>
      <c r="F75" s="49" t="s">
        <v>160</v>
      </c>
      <c r="H75" s="49" t="s">
        <v>160</v>
      </c>
    </row>
    <row r="76" spans="4:6" ht="12.75">
      <c r="D76" s="47"/>
      <c r="E76" s="47"/>
      <c r="F76" s="47"/>
    </row>
    <row r="77" spans="1:8" ht="12.75">
      <c r="A77" t="s">
        <v>209</v>
      </c>
      <c r="B77" t="s">
        <v>204</v>
      </c>
      <c r="D77" s="47">
        <f>+D45/D43</f>
        <v>0.14635965953406355</v>
      </c>
      <c r="E77" s="47"/>
      <c r="F77" s="47">
        <f>+F45/F43</f>
        <v>0.252381653557964</v>
      </c>
      <c r="H77" s="49" t="s">
        <v>160</v>
      </c>
    </row>
    <row r="79" ht="12.75">
      <c r="A79" t="s">
        <v>176</v>
      </c>
    </row>
    <row r="81" ht="12.75">
      <c r="A81" t="s">
        <v>191</v>
      </c>
    </row>
    <row r="83" ht="12.75">
      <c r="A83" s="69"/>
    </row>
    <row r="85" ht="12.75">
      <c r="B85" s="70"/>
    </row>
  </sheetData>
  <printOptions/>
  <pageMargins left="0.75" right="0.75" top="1" bottom="1" header="0.5" footer="0.5"/>
  <pageSetup horizontalDpi="96" verticalDpi="96" orientation="portrait" scale="57" r:id="rId1"/>
  <headerFooter alignWithMargins="0">
    <oddFooter>&amp;LCopyright ©2007 Cardean Learning Group LLC.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16"/>
  <sheetViews>
    <sheetView zoomScaleSheetLayoutView="75" workbookViewId="0" topLeftCell="A160">
      <selection activeCell="B166" sqref="B166"/>
    </sheetView>
  </sheetViews>
  <sheetFormatPr defaultColWidth="9.140625" defaultRowHeight="12.75"/>
  <cols>
    <col min="1" max="1" width="63.7109375" style="0" bestFit="1" customWidth="1"/>
    <col min="2" max="2" width="11.28125" style="0" bestFit="1" customWidth="1"/>
    <col min="3" max="3" width="12.00390625" style="0" customWidth="1"/>
    <col min="4" max="4" width="11.28125" style="0" bestFit="1" customWidth="1"/>
    <col min="5" max="5" width="2.7109375" style="0" customWidth="1"/>
    <col min="6" max="8" width="8.28125" style="0" bestFit="1" customWidth="1"/>
    <col min="9" max="9" width="2.7109375" style="0" customWidth="1"/>
    <col min="10" max="11" width="9.57421875" style="0" bestFit="1" customWidth="1"/>
    <col min="12" max="12" width="2.7109375" style="0" customWidth="1"/>
    <col min="13" max="15" width="10.28125" style="0" customWidth="1"/>
    <col min="16" max="16" width="11.57421875" style="0" customWidth="1"/>
  </cols>
  <sheetData>
    <row r="1" ht="12.75">
      <c r="C1" s="55"/>
    </row>
    <row r="2" ht="12.75">
      <c r="C2" s="55"/>
    </row>
    <row r="3" ht="12.75">
      <c r="C3" s="57"/>
    </row>
    <row r="4" ht="12.75">
      <c r="C4" s="55"/>
    </row>
    <row r="5" ht="12.75">
      <c r="C5" s="57"/>
    </row>
    <row r="7" ht="12.75">
      <c r="A7" s="28" t="s">
        <v>211</v>
      </c>
    </row>
    <row r="8" ht="12.75">
      <c r="A8" s="28" t="s">
        <v>212</v>
      </c>
    </row>
    <row r="9" ht="12.75">
      <c r="A9" s="28" t="s">
        <v>120</v>
      </c>
    </row>
    <row r="10" ht="12.75">
      <c r="A10" s="28" t="s">
        <v>213</v>
      </c>
    </row>
    <row r="11" spans="2:15" ht="12.75">
      <c r="B11" s="24">
        <v>36891</v>
      </c>
      <c r="C11" s="24">
        <v>36891</v>
      </c>
      <c r="D11" s="25"/>
      <c r="E11" s="20"/>
      <c r="F11" s="24">
        <v>36891</v>
      </c>
      <c r="G11" s="24">
        <v>36891</v>
      </c>
      <c r="H11" s="24"/>
      <c r="I11" s="20"/>
      <c r="J11" s="20" t="s">
        <v>0</v>
      </c>
      <c r="K11" s="20"/>
      <c r="L11" s="20"/>
      <c r="M11" s="20"/>
      <c r="N11" s="20"/>
      <c r="O11" s="20"/>
    </row>
    <row r="12" spans="2:15" ht="12.75">
      <c r="B12" s="42">
        <v>2001</v>
      </c>
      <c r="C12" s="42">
        <v>2000</v>
      </c>
      <c r="D12" s="26"/>
      <c r="E12" s="20"/>
      <c r="F12" s="42">
        <v>2001</v>
      </c>
      <c r="G12" s="42">
        <v>2000</v>
      </c>
      <c r="H12" s="27"/>
      <c r="I12" s="20"/>
      <c r="J12" s="42" t="s">
        <v>2</v>
      </c>
      <c r="K12" s="58"/>
      <c r="L12" s="58"/>
      <c r="M12" s="58"/>
      <c r="N12" s="58"/>
      <c r="O12" s="58"/>
    </row>
    <row r="13" spans="1:4" ht="12.75">
      <c r="A13" t="s">
        <v>214</v>
      </c>
      <c r="D13" s="59"/>
    </row>
    <row r="14" spans="1:4" ht="12.75">
      <c r="A14" t="s">
        <v>178</v>
      </c>
      <c r="D14" s="59"/>
    </row>
    <row r="15" spans="1:16" ht="12.75">
      <c r="A15" t="s">
        <v>215</v>
      </c>
      <c r="B15" s="5">
        <v>2144</v>
      </c>
      <c r="C15" s="5">
        <v>2536.8</v>
      </c>
      <c r="D15" s="60"/>
      <c r="F15" s="2">
        <f aca="true" t="shared" si="0" ref="F15:G20">B15/B$37</f>
        <v>0.048719854022228434</v>
      </c>
      <c r="G15" s="2">
        <f t="shared" si="0"/>
        <v>0.06317535344378893</v>
      </c>
      <c r="H15" s="2"/>
      <c r="J15" s="2">
        <f aca="true" t="shared" si="1" ref="J15:J20">(B15-C15)/ABS(C15)</f>
        <v>-0.1548407442447178</v>
      </c>
      <c r="K15" s="2"/>
      <c r="L15" s="2"/>
      <c r="M15" s="2"/>
      <c r="N15" s="2"/>
      <c r="O15" s="2"/>
      <c r="P15" s="2"/>
    </row>
    <row r="16" spans="1:16" ht="12.75">
      <c r="A16" t="s">
        <v>216</v>
      </c>
      <c r="B16" s="7">
        <v>1142.6</v>
      </c>
      <c r="C16" s="7">
        <v>1717.8</v>
      </c>
      <c r="D16" s="61"/>
      <c r="F16" s="2">
        <f t="shared" si="0"/>
        <v>0.02596422817434618</v>
      </c>
      <c r="G16" s="2">
        <f t="shared" si="0"/>
        <v>0.04277933701740012</v>
      </c>
      <c r="H16" s="2"/>
      <c r="J16" s="2">
        <f t="shared" si="1"/>
        <v>-0.3348468971940855</v>
      </c>
      <c r="K16" s="2"/>
      <c r="L16" s="2"/>
      <c r="M16" s="2"/>
      <c r="N16" s="2"/>
      <c r="O16" s="2"/>
      <c r="P16" s="2"/>
    </row>
    <row r="17" spans="1:16" ht="12.75">
      <c r="A17" t="s">
        <v>217</v>
      </c>
      <c r="B17" s="7">
        <v>5215.4</v>
      </c>
      <c r="C17" s="7">
        <v>5262.4</v>
      </c>
      <c r="D17" s="61"/>
      <c r="F17" s="2">
        <f t="shared" si="0"/>
        <v>0.11851377176657191</v>
      </c>
      <c r="G17" s="2">
        <f t="shared" si="0"/>
        <v>0.13105249919686016</v>
      </c>
      <c r="H17" s="2"/>
      <c r="J17" s="2">
        <f t="shared" si="1"/>
        <v>-0.00893128610519915</v>
      </c>
      <c r="K17" s="2"/>
      <c r="L17" s="2"/>
      <c r="M17" s="2"/>
      <c r="N17" s="2"/>
      <c r="O17" s="2"/>
      <c r="P17" s="2"/>
    </row>
    <row r="18" spans="1:16" ht="12.75">
      <c r="A18" t="s">
        <v>218</v>
      </c>
      <c r="B18" s="7">
        <v>3579.3</v>
      </c>
      <c r="C18" s="7">
        <v>3021.5</v>
      </c>
      <c r="D18" s="61"/>
      <c r="F18" s="2">
        <f t="shared" si="0"/>
        <v>0.08133534211835926</v>
      </c>
      <c r="G18" s="2">
        <f t="shared" si="0"/>
        <v>0.075246109441189</v>
      </c>
      <c r="H18" s="2"/>
      <c r="J18" s="2">
        <f t="shared" si="1"/>
        <v>0.1846102929008771</v>
      </c>
      <c r="K18" s="2"/>
      <c r="L18" s="2"/>
      <c r="M18" s="2"/>
      <c r="N18" s="2"/>
      <c r="O18" s="2"/>
      <c r="P18" s="2"/>
    </row>
    <row r="19" spans="1:16" ht="12.75">
      <c r="A19" t="s">
        <v>219</v>
      </c>
      <c r="B19" s="62">
        <v>880.3</v>
      </c>
      <c r="C19" s="62">
        <v>1059.4</v>
      </c>
      <c r="D19" s="61"/>
      <c r="F19" s="30">
        <f t="shared" si="0"/>
        <v>0.02000377215287672</v>
      </c>
      <c r="G19" s="30">
        <f t="shared" si="0"/>
        <v>0.026382832481216492</v>
      </c>
      <c r="H19" s="2"/>
      <c r="J19" s="30">
        <f t="shared" si="1"/>
        <v>-0.16905795733434031</v>
      </c>
      <c r="K19" s="63"/>
      <c r="L19" s="63"/>
      <c r="M19" s="63"/>
      <c r="N19" s="63"/>
      <c r="O19" s="63"/>
      <c r="P19" s="2"/>
    </row>
    <row r="20" spans="1:16" ht="12.75">
      <c r="A20" t="s">
        <v>220</v>
      </c>
      <c r="B20" s="7">
        <f>+SUM(B15:B19)</f>
        <v>12961.599999999999</v>
      </c>
      <c r="C20" s="7">
        <f>+SUM(C15:C19)</f>
        <v>13597.9</v>
      </c>
      <c r="D20" s="61"/>
      <c r="F20" s="2">
        <f t="shared" si="0"/>
        <v>0.29453696823438247</v>
      </c>
      <c r="G20" s="2">
        <f t="shared" si="0"/>
        <v>0.3386361315804547</v>
      </c>
      <c r="H20" s="2"/>
      <c r="J20" s="2">
        <f t="shared" si="1"/>
        <v>-0.04679399024849434</v>
      </c>
      <c r="K20" s="2"/>
      <c r="L20" s="2"/>
      <c r="M20" s="2"/>
      <c r="N20" s="2"/>
      <c r="O20" s="2"/>
      <c r="P20" s="2"/>
    </row>
    <row r="21" spans="2:16" ht="12.75">
      <c r="B21" s="7"/>
      <c r="C21" s="7"/>
      <c r="D21" s="61"/>
      <c r="F21" s="2"/>
      <c r="G21" s="2"/>
      <c r="H21" s="2"/>
      <c r="J21" s="2"/>
      <c r="K21" s="2"/>
      <c r="L21" s="2"/>
      <c r="M21" s="2"/>
      <c r="N21" s="2"/>
      <c r="O21" s="2"/>
      <c r="P21" s="2"/>
    </row>
    <row r="22" spans="1:16" ht="12.75">
      <c r="A22" t="s">
        <v>221</v>
      </c>
      <c r="B22" s="7">
        <v>6983.5</v>
      </c>
      <c r="C22" s="7">
        <v>4947.8</v>
      </c>
      <c r="D22" s="61"/>
      <c r="F22" s="2">
        <f>B22/B$37</f>
        <v>0.15869174466615313</v>
      </c>
      <c r="G22" s="2">
        <f>C22/C$37</f>
        <v>0.123217838918787</v>
      </c>
      <c r="H22" s="2"/>
      <c r="J22" s="2">
        <f>(B22-C22)/ABS(C22)</f>
        <v>0.4114353854238247</v>
      </c>
      <c r="K22" s="2"/>
      <c r="L22" s="2"/>
      <c r="M22" s="2"/>
      <c r="N22" s="2"/>
      <c r="O22" s="2"/>
      <c r="P22" s="2"/>
    </row>
    <row r="23" spans="2:16" ht="12.75">
      <c r="B23" s="7"/>
      <c r="C23" s="7"/>
      <c r="D23" s="61"/>
      <c r="F23" s="2"/>
      <c r="G23" s="2"/>
      <c r="H23" s="2"/>
      <c r="J23" s="2"/>
      <c r="K23" s="2"/>
      <c r="L23" s="2"/>
      <c r="M23" s="2"/>
      <c r="N23" s="2"/>
      <c r="O23" s="2"/>
      <c r="P23" s="2"/>
    </row>
    <row r="24" spans="1:16" ht="12.75">
      <c r="A24" t="s">
        <v>222</v>
      </c>
      <c r="B24" s="7"/>
      <c r="C24" s="7"/>
      <c r="D24" s="61"/>
      <c r="F24" s="2"/>
      <c r="G24" s="2"/>
      <c r="H24" s="2"/>
      <c r="J24" s="2"/>
      <c r="K24" s="2"/>
      <c r="L24" s="2"/>
      <c r="M24" s="2"/>
      <c r="N24" s="2"/>
      <c r="O24" s="2"/>
      <c r="P24" s="2"/>
    </row>
    <row r="25" spans="1:16" ht="12.75">
      <c r="A25" t="s">
        <v>223</v>
      </c>
      <c r="B25" s="7">
        <v>315.2</v>
      </c>
      <c r="C25" s="7">
        <v>311.6</v>
      </c>
      <c r="D25" s="61"/>
      <c r="F25" s="2">
        <f aca="true" t="shared" si="2" ref="F25:G31">B25/B$37</f>
        <v>0.007162545703267912</v>
      </c>
      <c r="G25" s="2">
        <f t="shared" si="2"/>
        <v>0.007759949595192617</v>
      </c>
      <c r="H25" s="2"/>
      <c r="J25" s="2">
        <f aca="true" t="shared" si="3" ref="J25:J31">(B25-C25)/ABS(C25)</f>
        <v>0.011553273427471006</v>
      </c>
      <c r="K25" s="2"/>
      <c r="L25" s="2"/>
      <c r="M25" s="2"/>
      <c r="N25" s="2"/>
      <c r="O25" s="2"/>
      <c r="P25" s="2"/>
    </row>
    <row r="26" spans="1:16" ht="12.75">
      <c r="A26" t="s">
        <v>224</v>
      </c>
      <c r="B26" s="7">
        <v>6653.9</v>
      </c>
      <c r="C26" s="7">
        <v>5514.2</v>
      </c>
      <c r="D26" s="61"/>
      <c r="F26" s="2">
        <f t="shared" si="2"/>
        <v>0.15120197606273592</v>
      </c>
      <c r="G26" s="2">
        <f t="shared" si="2"/>
        <v>0.1373232158466339</v>
      </c>
      <c r="H26" s="2"/>
      <c r="J26" s="2">
        <f t="shared" si="3"/>
        <v>0.2066845598636248</v>
      </c>
      <c r="K26" s="2"/>
      <c r="L26" s="2"/>
      <c r="M26" s="2"/>
      <c r="N26" s="2"/>
      <c r="O26" s="2"/>
      <c r="P26" s="2"/>
    </row>
    <row r="27" spans="1:16" ht="12.75">
      <c r="A27" t="s">
        <v>225</v>
      </c>
      <c r="B27" s="7">
        <v>9807</v>
      </c>
      <c r="C27" s="7">
        <v>8576.5</v>
      </c>
      <c r="D27" s="61"/>
      <c r="F27" s="2">
        <f t="shared" si="2"/>
        <v>0.22285242928917642</v>
      </c>
      <c r="G27" s="2">
        <f t="shared" si="2"/>
        <v>0.2135853905749983</v>
      </c>
      <c r="H27" s="2"/>
      <c r="J27" s="2">
        <f t="shared" si="3"/>
        <v>0.14347344487844693</v>
      </c>
      <c r="K27" s="2"/>
      <c r="L27" s="2"/>
      <c r="M27" s="2"/>
      <c r="N27" s="2"/>
      <c r="O27" s="2"/>
      <c r="P27" s="2"/>
    </row>
    <row r="28" spans="1:16" ht="12.75">
      <c r="A28" t="s">
        <v>226</v>
      </c>
      <c r="B28" s="62">
        <v>2180.4</v>
      </c>
      <c r="C28" s="62">
        <v>2304.9</v>
      </c>
      <c r="D28" s="61"/>
      <c r="F28" s="30">
        <f t="shared" si="2"/>
        <v>0.04954700079760582</v>
      </c>
      <c r="G28" s="30">
        <f t="shared" si="2"/>
        <v>0.05740021765712279</v>
      </c>
      <c r="H28" s="2"/>
      <c r="J28" s="30">
        <f t="shared" si="3"/>
        <v>-0.0540153585838865</v>
      </c>
      <c r="K28" s="63"/>
      <c r="L28" s="63"/>
      <c r="M28" s="63"/>
      <c r="N28" s="63"/>
      <c r="O28" s="63"/>
      <c r="P28" s="2"/>
    </row>
    <row r="29" spans="1:16" ht="12.75">
      <c r="A29" t="s">
        <v>227</v>
      </c>
      <c r="B29" s="7">
        <f>+SUM(B25:B28)</f>
        <v>18956.5</v>
      </c>
      <c r="C29" s="7">
        <f>+SUM(C25:C28)</f>
        <v>16707.2</v>
      </c>
      <c r="D29" s="61"/>
      <c r="F29" s="2">
        <f t="shared" si="2"/>
        <v>0.4307639518527861</v>
      </c>
      <c r="G29" s="2">
        <f t="shared" si="2"/>
        <v>0.4160687736739476</v>
      </c>
      <c r="H29" s="2"/>
      <c r="J29" s="2">
        <f t="shared" si="3"/>
        <v>0.1346305784332503</v>
      </c>
      <c r="K29" s="2"/>
      <c r="L29" s="2"/>
      <c r="M29" s="2"/>
      <c r="N29" s="2"/>
      <c r="O29" s="2"/>
      <c r="P29" s="2"/>
    </row>
    <row r="30" spans="1:16" ht="12.75">
      <c r="A30" t="s">
        <v>228</v>
      </c>
      <c r="B30" s="62">
        <v>5853.1</v>
      </c>
      <c r="C30" s="62">
        <v>5225.1</v>
      </c>
      <c r="D30" s="61"/>
      <c r="F30" s="30">
        <f t="shared" si="2"/>
        <v>0.13300474700443343</v>
      </c>
      <c r="G30" s="30">
        <f t="shared" si="2"/>
        <v>0.13012359637304538</v>
      </c>
      <c r="H30" s="2"/>
      <c r="J30" s="30">
        <f t="shared" si="3"/>
        <v>0.1201890872901954</v>
      </c>
      <c r="K30" s="63"/>
      <c r="L30" s="63"/>
      <c r="M30" s="63"/>
      <c r="N30" s="63"/>
      <c r="O30" s="63"/>
      <c r="P30" s="2"/>
    </row>
    <row r="31" spans="1:16" ht="12.75">
      <c r="A31" t="s">
        <v>229</v>
      </c>
      <c r="B31" s="7">
        <f>+B29-B30</f>
        <v>13103.4</v>
      </c>
      <c r="C31" s="7">
        <f>+C29-C30</f>
        <v>11482.1</v>
      </c>
      <c r="D31" s="61"/>
      <c r="F31" s="2">
        <f t="shared" si="2"/>
        <v>0.29775920484835267</v>
      </c>
      <c r="G31" s="2">
        <f t="shared" si="2"/>
        <v>0.28594517730090224</v>
      </c>
      <c r="H31" s="2"/>
      <c r="J31" s="2">
        <f t="shared" si="3"/>
        <v>0.1412023932904259</v>
      </c>
      <c r="K31" s="2"/>
      <c r="L31" s="2"/>
      <c r="M31" s="2"/>
      <c r="N31" s="2"/>
      <c r="O31" s="2"/>
      <c r="P31" s="2"/>
    </row>
    <row r="32" spans="2:16" ht="12.75">
      <c r="B32" s="7"/>
      <c r="C32" s="7"/>
      <c r="D32" s="61"/>
      <c r="F32" s="2"/>
      <c r="G32" s="2"/>
      <c r="H32" s="2"/>
      <c r="J32" s="2"/>
      <c r="K32" s="2"/>
      <c r="L32" s="2"/>
      <c r="M32" s="2"/>
      <c r="N32" s="2"/>
      <c r="O32" s="2"/>
      <c r="P32" s="2"/>
    </row>
    <row r="33" spans="1:16" ht="12.75">
      <c r="A33" t="s">
        <v>230</v>
      </c>
      <c r="B33" s="7"/>
      <c r="C33" s="7"/>
      <c r="D33" s="61"/>
      <c r="F33" s="2"/>
      <c r="G33" s="2"/>
      <c r="H33" s="2"/>
      <c r="J33" s="2"/>
      <c r="K33" s="2"/>
      <c r="L33" s="2"/>
      <c r="M33" s="2"/>
      <c r="N33" s="2"/>
      <c r="O33" s="2"/>
      <c r="P33" s="2"/>
    </row>
    <row r="34" spans="1:16" ht="12.75">
      <c r="A34" t="s">
        <v>231</v>
      </c>
      <c r="B34" s="7">
        <v>7476.5</v>
      </c>
      <c r="C34" s="7">
        <v>7374.2</v>
      </c>
      <c r="D34" s="61"/>
      <c r="F34" s="2">
        <f>B34/B$37</f>
        <v>0.1698945842337644</v>
      </c>
      <c r="G34" s="2">
        <f>C34/C$37</f>
        <v>0.18364383923257185</v>
      </c>
      <c r="H34" s="2"/>
      <c r="J34" s="2">
        <f>(B34-C34)/ABS(C34)</f>
        <v>0.013872691274985785</v>
      </c>
      <c r="K34" s="2"/>
      <c r="L34" s="2"/>
      <c r="M34" s="2"/>
      <c r="N34" s="2"/>
      <c r="O34" s="2"/>
      <c r="P34" s="2"/>
    </row>
    <row r="35" spans="2:16" ht="12.75">
      <c r="B35" s="7"/>
      <c r="C35" s="7"/>
      <c r="D35" s="61"/>
      <c r="F35" s="2"/>
      <c r="G35" s="2"/>
      <c r="H35" s="2"/>
      <c r="J35" s="2"/>
      <c r="K35" s="2"/>
      <c r="L35" s="2"/>
      <c r="M35" s="2"/>
      <c r="N35" s="2"/>
      <c r="O35" s="2"/>
      <c r="P35" s="2"/>
    </row>
    <row r="36" spans="1:16" ht="12.75">
      <c r="A36" t="s">
        <v>232</v>
      </c>
      <c r="B36" s="7">
        <v>3481.7</v>
      </c>
      <c r="C36" s="7">
        <v>2752.9</v>
      </c>
      <c r="D36" s="61"/>
      <c r="F36" s="2">
        <f>B36/B$37</f>
        <v>0.07911749801734735</v>
      </c>
      <c r="G36" s="2">
        <f>C36/C$37</f>
        <v>0.0685570129672842</v>
      </c>
      <c r="H36" s="2"/>
      <c r="J36" s="2">
        <f>(B36-C36)/ABS(C36)</f>
        <v>0.26473900250644766</v>
      </c>
      <c r="K36" s="2"/>
      <c r="L36" s="2"/>
      <c r="M36" s="2"/>
      <c r="N36" s="2"/>
      <c r="O36" s="2"/>
      <c r="P36" s="2"/>
    </row>
    <row r="37" spans="1:16" ht="13.5" thickBot="1">
      <c r="A37" t="s">
        <v>159</v>
      </c>
      <c r="B37" s="64">
        <f>+B20+B22+B31+B34+B36</f>
        <v>44006.7</v>
      </c>
      <c r="C37" s="64">
        <f>+C20+C22+C31+C34+C36</f>
        <v>40154.9</v>
      </c>
      <c r="D37" s="60"/>
      <c r="F37" s="32">
        <f>B37/B$37</f>
        <v>1</v>
      </c>
      <c r="G37" s="32">
        <f>C37/C$37</f>
        <v>1</v>
      </c>
      <c r="H37" s="2"/>
      <c r="J37" s="32">
        <f>(B37-C37)/ABS(C37)</f>
        <v>0.09592353610642775</v>
      </c>
      <c r="K37" s="63"/>
      <c r="L37" s="63"/>
      <c r="M37" s="63"/>
      <c r="N37" s="63"/>
      <c r="O37" s="63"/>
      <c r="P37" s="2"/>
    </row>
    <row r="38" spans="2:16" ht="13.5" thickTop="1">
      <c r="B38" s="11"/>
      <c r="C38" s="11"/>
      <c r="D38" s="59"/>
      <c r="F38" s="10"/>
      <c r="G38" s="10"/>
      <c r="H38" s="2"/>
      <c r="J38" s="10"/>
      <c r="K38" s="10"/>
      <c r="L38" s="10"/>
      <c r="M38" s="10"/>
      <c r="N38" s="10"/>
      <c r="O38" s="10"/>
      <c r="P38" s="2"/>
    </row>
    <row r="39" spans="1:16" ht="12.75">
      <c r="A39" t="s">
        <v>233</v>
      </c>
      <c r="D39" s="59"/>
      <c r="F39" s="2"/>
      <c r="G39" s="2"/>
      <c r="H39" s="2"/>
      <c r="J39" s="2"/>
      <c r="K39" s="2"/>
      <c r="L39" s="2"/>
      <c r="M39" s="2"/>
      <c r="N39" s="2"/>
      <c r="O39" s="2"/>
      <c r="P39" s="2"/>
    </row>
    <row r="40" spans="1:16" ht="12.75">
      <c r="A40" t="s">
        <v>179</v>
      </c>
      <c r="D40" s="61"/>
      <c r="F40" s="2"/>
      <c r="G40" s="2"/>
      <c r="H40" s="2"/>
      <c r="J40" s="2"/>
      <c r="K40" s="2"/>
      <c r="L40" s="2"/>
      <c r="M40" s="2"/>
      <c r="N40" s="2"/>
      <c r="O40" s="2"/>
      <c r="P40" s="2"/>
    </row>
    <row r="41" spans="1:16" ht="12.75">
      <c r="A41" t="s">
        <v>234</v>
      </c>
      <c r="B41" s="5">
        <v>5108.4</v>
      </c>
      <c r="C41" s="5">
        <v>4605.8</v>
      </c>
      <c r="D41" s="60"/>
      <c r="F41" s="2">
        <f aca="true" t="shared" si="4" ref="F41:G45">B41/B$37</f>
        <v>0.11608232382796256</v>
      </c>
      <c r="G41" s="2">
        <f t="shared" si="4"/>
        <v>0.11470082107040486</v>
      </c>
      <c r="H41" s="2"/>
      <c r="J41" s="2">
        <f>(B41-C41)/ABS(C41)</f>
        <v>0.10912327934343641</v>
      </c>
      <c r="K41" s="2"/>
      <c r="L41" s="2"/>
      <c r="M41" s="2"/>
      <c r="N41" s="2"/>
      <c r="O41" s="2"/>
      <c r="P41" s="2"/>
    </row>
    <row r="42" spans="1:16" ht="12.75">
      <c r="A42" t="s">
        <v>235</v>
      </c>
      <c r="B42" s="7">
        <v>4066.7</v>
      </c>
      <c r="C42" s="7">
        <v>3319.3</v>
      </c>
      <c r="D42" s="61"/>
      <c r="F42" s="2">
        <f t="shared" si="4"/>
        <v>0.09241092833591248</v>
      </c>
      <c r="G42" s="2">
        <f t="shared" si="4"/>
        <v>0.08266238989513111</v>
      </c>
      <c r="H42" s="2"/>
      <c r="J42" s="2">
        <f>(B42-C42)/ABS(C42)</f>
        <v>0.2251679570993883</v>
      </c>
      <c r="K42" s="2"/>
      <c r="L42" s="2"/>
      <c r="M42" s="2"/>
      <c r="N42" s="2"/>
      <c r="O42" s="2"/>
      <c r="P42" s="2"/>
    </row>
    <row r="43" spans="1:16" ht="12.75">
      <c r="A43" t="s">
        <v>236</v>
      </c>
      <c r="B43" s="7">
        <v>1573.3</v>
      </c>
      <c r="C43" s="7">
        <v>1244.3</v>
      </c>
      <c r="D43" s="61"/>
      <c r="F43" s="2">
        <f t="shared" si="4"/>
        <v>0.03575137422256157</v>
      </c>
      <c r="G43" s="2">
        <f t="shared" si="4"/>
        <v>0.03098750090275408</v>
      </c>
      <c r="H43" s="2"/>
      <c r="J43" s="2">
        <f>(B43-C43)/ABS(C43)</f>
        <v>0.2644056899461545</v>
      </c>
      <c r="K43" s="2"/>
      <c r="L43" s="2"/>
      <c r="M43" s="2"/>
      <c r="N43" s="2"/>
      <c r="O43" s="2"/>
      <c r="P43" s="2"/>
    </row>
    <row r="44" spans="1:16" ht="12.75">
      <c r="A44" t="s">
        <v>237</v>
      </c>
      <c r="B44" s="62">
        <v>795.8</v>
      </c>
      <c r="C44" s="62">
        <v>784.7</v>
      </c>
      <c r="D44" s="61"/>
      <c r="F44" s="30">
        <f t="shared" si="4"/>
        <v>0.018083609995750646</v>
      </c>
      <c r="G44" s="30">
        <f t="shared" si="4"/>
        <v>0.019541824285454576</v>
      </c>
      <c r="H44" s="2"/>
      <c r="J44" s="30">
        <f>(B44-C44)/ABS(C44)</f>
        <v>0.0141455333248374</v>
      </c>
      <c r="K44" s="63"/>
      <c r="L44" s="63"/>
      <c r="M44" s="63"/>
      <c r="N44" s="63"/>
      <c r="O44" s="63"/>
      <c r="P44" s="2"/>
    </row>
    <row r="45" spans="1:16" ht="12.75">
      <c r="A45" t="s">
        <v>238</v>
      </c>
      <c r="B45" s="7">
        <f>+SUM(B41:B44)</f>
        <v>11544.199999999997</v>
      </c>
      <c r="C45" s="7">
        <f>+SUM(C41:C44)</f>
        <v>9954.1</v>
      </c>
      <c r="D45" s="61"/>
      <c r="F45" s="2">
        <f t="shared" si="4"/>
        <v>0.2623282363821872</v>
      </c>
      <c r="G45" s="2">
        <f t="shared" si="4"/>
        <v>0.24789253615374462</v>
      </c>
      <c r="H45" s="2"/>
      <c r="J45" s="2">
        <f>(B45-C45)/ABS(C45)</f>
        <v>0.15974322138616215</v>
      </c>
      <c r="K45" s="2"/>
      <c r="L45" s="2"/>
      <c r="M45" s="2"/>
      <c r="N45" s="2"/>
      <c r="O45" s="2"/>
      <c r="P45" s="2"/>
    </row>
    <row r="46" spans="2:16" ht="12.75">
      <c r="B46" s="7"/>
      <c r="C46" s="7"/>
      <c r="D46" s="61"/>
      <c r="F46" s="2"/>
      <c r="G46" s="2"/>
      <c r="H46" s="2"/>
      <c r="J46" s="2"/>
      <c r="K46" s="2"/>
      <c r="L46" s="2"/>
      <c r="M46" s="2"/>
      <c r="N46" s="2"/>
      <c r="O46" s="2"/>
      <c r="P46" s="2"/>
    </row>
    <row r="47" spans="1:16" ht="12.75">
      <c r="A47" t="s">
        <v>239</v>
      </c>
      <c r="B47" s="7">
        <v>4798.6</v>
      </c>
      <c r="C47" s="7">
        <v>3600.7</v>
      </c>
      <c r="D47" s="61"/>
      <c r="F47" s="2">
        <f>B47/B$37</f>
        <v>0.10904248671225066</v>
      </c>
      <c r="G47" s="2">
        <f>C47/C$37</f>
        <v>0.08967025194932622</v>
      </c>
      <c r="H47" s="2"/>
      <c r="J47" s="2">
        <f>(B47-C47)/ABS(C47)</f>
        <v>0.3326853111894911</v>
      </c>
      <c r="K47" s="2"/>
      <c r="L47" s="2"/>
      <c r="M47" s="2"/>
      <c r="N47" s="2"/>
      <c r="O47" s="2"/>
      <c r="P47" s="2"/>
    </row>
    <row r="48" spans="2:16" ht="12.75">
      <c r="B48" s="7"/>
      <c r="C48" s="7"/>
      <c r="D48" s="61"/>
      <c r="F48" s="2"/>
      <c r="G48" s="2"/>
      <c r="H48" s="2"/>
      <c r="J48" s="2"/>
      <c r="K48" s="2"/>
      <c r="L48" s="2"/>
      <c r="M48" s="2"/>
      <c r="N48" s="2"/>
      <c r="O48" s="2"/>
      <c r="P48" s="2"/>
    </row>
    <row r="49" spans="1:16" ht="12.75">
      <c r="A49" t="s">
        <v>240</v>
      </c>
      <c r="B49" s="7">
        <v>6776.3</v>
      </c>
      <c r="C49" s="7">
        <v>6746.7</v>
      </c>
      <c r="D49" s="61"/>
      <c r="F49" s="2">
        <f>B49/B$37</f>
        <v>0.15398337071400492</v>
      </c>
      <c r="G49" s="2">
        <f>C49/C$37</f>
        <v>0.16801685473005784</v>
      </c>
      <c r="H49" s="2"/>
      <c r="J49" s="2">
        <f>(B49-C49)/ABS(C49)</f>
        <v>0.004387330102124056</v>
      </c>
      <c r="K49" s="2"/>
      <c r="L49" s="2"/>
      <c r="M49" s="2"/>
      <c r="N49" s="2"/>
      <c r="O49" s="2"/>
      <c r="P49" s="2"/>
    </row>
    <row r="50" spans="2:16" ht="12.75">
      <c r="B50" s="7"/>
      <c r="C50" s="7"/>
      <c r="D50" s="61"/>
      <c r="F50" s="2"/>
      <c r="G50" s="2"/>
      <c r="H50" s="2"/>
      <c r="J50" s="2"/>
      <c r="K50" s="2"/>
      <c r="L50" s="2"/>
      <c r="M50" s="2"/>
      <c r="N50" s="2"/>
      <c r="O50" s="2"/>
      <c r="P50" s="2"/>
    </row>
    <row r="51" spans="1:16" ht="12.75">
      <c r="A51" t="s">
        <v>241</v>
      </c>
      <c r="B51" s="7">
        <v>4837.5</v>
      </c>
      <c r="C51" s="7">
        <v>5021</v>
      </c>
      <c r="D51" s="61"/>
      <c r="F51" s="2">
        <f>B51/B$37</f>
        <v>0.10992644301890395</v>
      </c>
      <c r="G51" s="2">
        <f>C51/C$37</f>
        <v>0.1250407795810723</v>
      </c>
      <c r="H51" s="2"/>
      <c r="J51" s="2">
        <f>(B51-C51)/ABS(C51)</f>
        <v>-0.03654650468034256</v>
      </c>
      <c r="K51" s="2"/>
      <c r="L51" s="2"/>
      <c r="M51" s="2"/>
      <c r="N51" s="2"/>
      <c r="O51" s="2"/>
      <c r="P51" s="2"/>
    </row>
    <row r="52" spans="2:16" ht="12.75">
      <c r="B52" s="7"/>
      <c r="C52" s="7"/>
      <c r="D52" s="61"/>
      <c r="F52" s="2"/>
      <c r="G52" s="2"/>
      <c r="H52" s="2"/>
      <c r="J52" s="2"/>
      <c r="K52" s="2"/>
      <c r="L52" s="2"/>
      <c r="M52" s="2"/>
      <c r="N52" s="2"/>
      <c r="O52" s="2"/>
      <c r="P52" s="2"/>
    </row>
    <row r="53" spans="1:16" ht="12.75">
      <c r="A53" t="s">
        <v>242</v>
      </c>
      <c r="B53" s="7"/>
      <c r="C53" s="7"/>
      <c r="D53" s="61"/>
      <c r="F53" s="2"/>
      <c r="G53" s="2"/>
      <c r="H53" s="2"/>
      <c r="J53" s="2"/>
      <c r="K53" s="2"/>
      <c r="L53" s="2"/>
      <c r="M53" s="2"/>
      <c r="N53" s="2"/>
      <c r="O53" s="2"/>
      <c r="P53" s="2"/>
    </row>
    <row r="54" spans="1:16" ht="12.75">
      <c r="A54" t="s">
        <v>243</v>
      </c>
      <c r="B54" s="7"/>
      <c r="C54" s="7"/>
      <c r="D54" s="61"/>
      <c r="F54" s="2"/>
      <c r="G54" s="2"/>
      <c r="H54" s="2"/>
      <c r="J54" s="2"/>
      <c r="K54" s="2"/>
      <c r="L54" s="2"/>
      <c r="M54" s="2"/>
      <c r="N54" s="2"/>
      <c r="O54" s="2"/>
      <c r="P54" s="2"/>
    </row>
    <row r="55" spans="1:16" ht="12.75">
      <c r="A55" s="6" t="s">
        <v>244</v>
      </c>
      <c r="B55" s="7"/>
      <c r="C55" s="7"/>
      <c r="D55" s="61"/>
      <c r="F55" s="2"/>
      <c r="G55" s="2"/>
      <c r="H55" s="2"/>
      <c r="J55" s="2"/>
      <c r="K55" s="2"/>
      <c r="L55" s="2"/>
      <c r="M55" s="2"/>
      <c r="N55" s="2"/>
      <c r="O55" s="2"/>
      <c r="P55" s="2"/>
    </row>
    <row r="56" spans="1:16" ht="12.75">
      <c r="A56" s="6" t="s">
        <v>245</v>
      </c>
      <c r="B56" s="7"/>
      <c r="C56" s="7"/>
      <c r="D56" s="61"/>
      <c r="F56" s="2"/>
      <c r="G56" s="2"/>
      <c r="H56" s="2"/>
      <c r="J56" s="2"/>
      <c r="K56" s="2"/>
      <c r="L56" s="2"/>
      <c r="M56" s="2"/>
      <c r="N56" s="2"/>
      <c r="O56" s="2"/>
      <c r="P56" s="2"/>
    </row>
    <row r="57" spans="1:16" ht="12.75">
      <c r="A57" s="6" t="s">
        <v>246</v>
      </c>
      <c r="B57" s="7">
        <v>29.8</v>
      </c>
      <c r="C57" s="7">
        <v>29.7</v>
      </c>
      <c r="D57" s="61"/>
      <c r="F57" s="2">
        <f aca="true" t="shared" si="5" ref="F57:G61">B57/B$37</f>
        <v>0.0006771696128089587</v>
      </c>
      <c r="G57" s="2">
        <f t="shared" si="5"/>
        <v>0.0007396357605173963</v>
      </c>
      <c r="H57" s="2"/>
      <c r="J57" s="2">
        <f>(B57-C57)/ABS(C57)</f>
        <v>0.003367003367003415</v>
      </c>
      <c r="K57" s="2"/>
      <c r="L57" s="2"/>
      <c r="M57" s="2"/>
      <c r="N57" s="2"/>
      <c r="O57" s="2"/>
      <c r="P57" s="2"/>
    </row>
    <row r="58" spans="1:16" ht="12.75">
      <c r="A58" t="s">
        <v>247</v>
      </c>
      <c r="B58" s="7">
        <v>6907.2</v>
      </c>
      <c r="C58" s="7">
        <v>6265.8</v>
      </c>
      <c r="D58" s="61"/>
      <c r="F58" s="2">
        <f t="shared" si="5"/>
        <v>0.15695791777161205</v>
      </c>
      <c r="G58" s="2">
        <f t="shared" si="5"/>
        <v>0.15604073226430648</v>
      </c>
      <c r="H58" s="2"/>
      <c r="J58" s="2">
        <f>(B58-C58)/ABS(C58)</f>
        <v>0.10236522072201469</v>
      </c>
      <c r="K58" s="2"/>
      <c r="L58" s="2"/>
      <c r="M58" s="2"/>
      <c r="N58" s="2"/>
      <c r="O58" s="2"/>
      <c r="P58" s="2"/>
    </row>
    <row r="59" spans="1:16" ht="12.75">
      <c r="A59" t="s">
        <v>248</v>
      </c>
      <c r="B59" s="7">
        <v>31489.6</v>
      </c>
      <c r="C59" s="7">
        <v>27363.9</v>
      </c>
      <c r="D59" s="61"/>
      <c r="F59" s="2">
        <f t="shared" si="5"/>
        <v>0.715563766426476</v>
      </c>
      <c r="G59" s="2">
        <f t="shared" si="5"/>
        <v>0.6814585517583159</v>
      </c>
      <c r="H59" s="2"/>
      <c r="J59" s="2">
        <f>(B59-C59)/ABS(C59)</f>
        <v>0.1507716370838951</v>
      </c>
      <c r="K59" s="2"/>
      <c r="L59" s="2"/>
      <c r="M59" s="2"/>
      <c r="N59" s="2"/>
      <c r="O59" s="2"/>
      <c r="P59" s="2"/>
    </row>
    <row r="60" spans="1:16" ht="12.75">
      <c r="A60" t="s">
        <v>249</v>
      </c>
      <c r="B60" s="62">
        <v>10.6</v>
      </c>
      <c r="C60" s="62">
        <v>30.8</v>
      </c>
      <c r="D60" s="61"/>
      <c r="F60" s="30">
        <f t="shared" si="5"/>
        <v>0.00024087241260989804</v>
      </c>
      <c r="G60" s="30">
        <f t="shared" si="5"/>
        <v>0.0007670296775735962</v>
      </c>
      <c r="H60" s="2"/>
      <c r="J60" s="30">
        <f>(B60-C60)/ABS(C60)</f>
        <v>-0.6558441558441559</v>
      </c>
      <c r="K60" s="63"/>
      <c r="L60" s="63"/>
      <c r="M60" s="63"/>
      <c r="N60" s="63"/>
      <c r="O60" s="63"/>
      <c r="P60" s="2"/>
    </row>
    <row r="61" spans="1:16" ht="12.75">
      <c r="A61" t="s">
        <v>250</v>
      </c>
      <c r="B61" s="7">
        <f>+SUM(B57:B60)</f>
        <v>38437.2</v>
      </c>
      <c r="C61" s="7">
        <f>+SUM(C57:C60)</f>
        <v>33690.200000000004</v>
      </c>
      <c r="D61" s="61"/>
      <c r="F61" s="2">
        <f t="shared" si="5"/>
        <v>0.8734397262235069</v>
      </c>
      <c r="G61" s="2">
        <f t="shared" si="5"/>
        <v>0.8390059494607135</v>
      </c>
      <c r="H61" s="2"/>
      <c r="J61" s="2">
        <f>(B61-C61)/ABS(C61)</f>
        <v>0.1409015084505284</v>
      </c>
      <c r="K61" s="2"/>
      <c r="L61" s="2"/>
      <c r="M61" s="2"/>
      <c r="N61" s="2"/>
      <c r="O61" s="2"/>
      <c r="P61" s="2"/>
    </row>
    <row r="62" spans="1:16" ht="12.75">
      <c r="A62" t="s">
        <v>251</v>
      </c>
      <c r="B62" s="7"/>
      <c r="C62" s="7"/>
      <c r="D62" s="61"/>
      <c r="F62" s="2"/>
      <c r="G62" s="2"/>
      <c r="H62" s="2"/>
      <c r="J62" s="2"/>
      <c r="K62" s="2"/>
      <c r="L62" s="2"/>
      <c r="M62" s="2"/>
      <c r="N62" s="2"/>
      <c r="O62" s="2"/>
      <c r="P62" s="2"/>
    </row>
    <row r="63" spans="1:16" ht="12.75">
      <c r="A63" s="6" t="s">
        <v>252</v>
      </c>
      <c r="B63" s="7"/>
      <c r="C63" s="7"/>
      <c r="D63" s="61"/>
      <c r="F63" s="2"/>
      <c r="G63" s="2"/>
      <c r="H63" s="2"/>
      <c r="J63" s="2"/>
      <c r="K63" s="2"/>
      <c r="L63" s="2"/>
      <c r="M63" s="2"/>
      <c r="N63" s="2"/>
      <c r="O63" s="2"/>
      <c r="P63" s="2"/>
    </row>
    <row r="64" spans="1:16" ht="12.75">
      <c r="A64" s="6" t="s">
        <v>253</v>
      </c>
      <c r="B64" s="62">
        <v>22387.1</v>
      </c>
      <c r="C64" s="62">
        <v>18857.8</v>
      </c>
      <c r="D64" s="61"/>
      <c r="F64" s="30">
        <f aca="true" t="shared" si="6" ref="F64:G66">B64/B$37</f>
        <v>0.5087202630508536</v>
      </c>
      <c r="G64" s="30">
        <f t="shared" si="6"/>
        <v>0.46962637187491435</v>
      </c>
      <c r="H64" s="2"/>
      <c r="J64" s="30">
        <f>(B64-C64)/ABS(C64)</f>
        <v>0.18715332647498645</v>
      </c>
      <c r="K64" s="63"/>
      <c r="L64" s="63"/>
      <c r="M64" s="63"/>
      <c r="N64" s="63"/>
      <c r="O64" s="63"/>
      <c r="P64" s="2"/>
    </row>
    <row r="65" spans="1:16" ht="12.75">
      <c r="A65" t="s">
        <v>254</v>
      </c>
      <c r="B65" s="7">
        <f>+B61-B64</f>
        <v>16050.099999999999</v>
      </c>
      <c r="C65" s="7">
        <f>+C61-C64</f>
        <v>14832.400000000005</v>
      </c>
      <c r="D65" s="61"/>
      <c r="F65" s="2">
        <f t="shared" si="6"/>
        <v>0.36471946317265325</v>
      </c>
      <c r="G65" s="2">
        <f t="shared" si="6"/>
        <v>0.3693795775857991</v>
      </c>
      <c r="H65" s="2"/>
      <c r="J65" s="2">
        <f>(B65-C65)/ABS(C65)</f>
        <v>0.08209730050430092</v>
      </c>
      <c r="K65" s="2"/>
      <c r="L65" s="2"/>
      <c r="M65" s="2"/>
      <c r="N65" s="2"/>
      <c r="O65" s="2"/>
      <c r="P65" s="2"/>
    </row>
    <row r="66" spans="1:16" ht="13.5" thickBot="1">
      <c r="A66" t="s">
        <v>4</v>
      </c>
      <c r="B66" s="64">
        <f>+B45+B47+B49+B51+B65</f>
        <v>44006.7</v>
      </c>
      <c r="C66" s="64">
        <f>+C45+C47+C49+C51+C65</f>
        <v>40154.90000000001</v>
      </c>
      <c r="D66" s="60"/>
      <c r="F66" s="32">
        <f t="shared" si="6"/>
        <v>1</v>
      </c>
      <c r="G66" s="32">
        <f t="shared" si="6"/>
        <v>1.0000000000000002</v>
      </c>
      <c r="H66" s="2"/>
      <c r="J66" s="32">
        <f>(B66-C66)/ABS(C66)</f>
        <v>0.09592353610642755</v>
      </c>
      <c r="K66" s="63"/>
      <c r="L66" s="63"/>
      <c r="M66" s="63"/>
      <c r="N66" s="63"/>
      <c r="O66" s="63"/>
      <c r="P66" s="2"/>
    </row>
    <row r="67" spans="10:15" ht="13.5" thickTop="1">
      <c r="J67" s="2"/>
      <c r="K67" s="2"/>
      <c r="L67" s="2"/>
      <c r="M67" s="2"/>
      <c r="N67" s="2"/>
      <c r="O67" s="2"/>
    </row>
    <row r="68" spans="1:15" ht="12.75">
      <c r="A68" s="28" t="s">
        <v>255</v>
      </c>
      <c r="J68" s="2"/>
      <c r="K68" s="2"/>
      <c r="L68" s="2"/>
      <c r="M68" s="2"/>
      <c r="N68" s="2"/>
      <c r="O68" s="2"/>
    </row>
    <row r="69" spans="1:15" ht="12.75">
      <c r="A69" s="28" t="s">
        <v>212</v>
      </c>
      <c r="J69" s="2"/>
      <c r="K69" s="2"/>
      <c r="L69" s="2"/>
      <c r="M69" s="2"/>
      <c r="N69" s="2"/>
      <c r="O69" s="2"/>
    </row>
    <row r="70" spans="1:15" ht="12.75">
      <c r="A70" s="28" t="s">
        <v>256</v>
      </c>
      <c r="J70" s="2"/>
      <c r="K70" s="2"/>
      <c r="L70" s="2"/>
      <c r="M70" s="2"/>
      <c r="N70" s="2"/>
      <c r="O70" s="2"/>
    </row>
    <row r="71" spans="1:15" ht="12.75">
      <c r="A71" s="28" t="s">
        <v>257</v>
      </c>
      <c r="F71" s="3"/>
      <c r="G71" s="3"/>
      <c r="H71" s="3"/>
      <c r="M71" s="20" t="s">
        <v>136</v>
      </c>
      <c r="N71" s="20" t="s">
        <v>138</v>
      </c>
      <c r="O71" s="20" t="s">
        <v>139</v>
      </c>
    </row>
    <row r="72" spans="2:15" ht="12.75">
      <c r="B72" s="24">
        <v>36891</v>
      </c>
      <c r="C72" s="24">
        <v>36891</v>
      </c>
      <c r="D72" s="24">
        <v>36891</v>
      </c>
      <c r="E72" s="20"/>
      <c r="F72" s="24">
        <v>36891</v>
      </c>
      <c r="G72" s="24">
        <v>36891</v>
      </c>
      <c r="H72" s="24">
        <v>36891</v>
      </c>
      <c r="I72" s="20"/>
      <c r="J72" s="20" t="s">
        <v>0</v>
      </c>
      <c r="K72" s="20" t="s">
        <v>0</v>
      </c>
      <c r="L72" s="20"/>
      <c r="M72" s="20" t="s">
        <v>137</v>
      </c>
      <c r="N72" s="20" t="s">
        <v>137</v>
      </c>
      <c r="O72" s="20" t="s">
        <v>137</v>
      </c>
    </row>
    <row r="73" spans="2:15" ht="12.75">
      <c r="B73" s="42">
        <v>2001</v>
      </c>
      <c r="C73" s="42">
        <v>2000</v>
      </c>
      <c r="D73" s="42">
        <v>1999</v>
      </c>
      <c r="E73" s="20"/>
      <c r="F73" s="42">
        <v>2001</v>
      </c>
      <c r="G73" s="42">
        <v>2000</v>
      </c>
      <c r="H73" s="42">
        <v>1999</v>
      </c>
      <c r="I73" s="20"/>
      <c r="J73" s="42" t="s">
        <v>2</v>
      </c>
      <c r="K73" s="42" t="s">
        <v>3</v>
      </c>
      <c r="M73" s="42">
        <v>2002</v>
      </c>
      <c r="N73" s="42">
        <v>2002</v>
      </c>
      <c r="O73" s="42">
        <v>2002</v>
      </c>
    </row>
    <row r="74" spans="10:14" ht="12.75">
      <c r="J74" s="2"/>
      <c r="M74" s="2"/>
      <c r="N74" s="2"/>
    </row>
    <row r="75" spans="1:15" ht="12.75">
      <c r="A75" t="s">
        <v>258</v>
      </c>
      <c r="B75" s="5">
        <v>47715.7</v>
      </c>
      <c r="C75" s="5">
        <v>40363.2</v>
      </c>
      <c r="D75" s="5">
        <v>32714</v>
      </c>
      <c r="F75" s="2">
        <f>B75/B$75</f>
        <v>1</v>
      </c>
      <c r="G75" s="2">
        <f>C75/C$75</f>
        <v>1</v>
      </c>
      <c r="H75" s="2">
        <f>D75/D$75</f>
        <v>1</v>
      </c>
      <c r="J75" s="2">
        <f>(B75-C75)/ABS(C75)</f>
        <v>0.18215850081262142</v>
      </c>
      <c r="K75" s="2">
        <f>(C75-D75)/ABS(D75)</f>
        <v>0.23382038271076594</v>
      </c>
      <c r="M75" s="12">
        <f>B75*1.25</f>
        <v>59644.625</v>
      </c>
      <c r="N75" s="12">
        <f>B75</f>
        <v>47715.7</v>
      </c>
      <c r="O75" s="12">
        <f>B75*0.75</f>
        <v>35786.774999999994</v>
      </c>
    </row>
    <row r="76" spans="6:15" ht="12.75">
      <c r="F76" s="2"/>
      <c r="G76" s="2"/>
      <c r="H76" s="2"/>
      <c r="J76" s="2"/>
      <c r="K76" s="2"/>
      <c r="M76" s="2"/>
      <c r="N76" s="2"/>
      <c r="O76" s="2"/>
    </row>
    <row r="77" spans="1:15" ht="12.75">
      <c r="A77" t="s">
        <v>259</v>
      </c>
      <c r="F77" s="2"/>
      <c r="G77" s="2"/>
      <c r="H77" s="2"/>
      <c r="J77" s="2"/>
      <c r="K77" s="2"/>
      <c r="M77" s="2"/>
      <c r="N77" s="2"/>
      <c r="O77" s="2"/>
    </row>
    <row r="78" spans="1:15" ht="12.75">
      <c r="A78" t="s">
        <v>260</v>
      </c>
      <c r="B78" s="7">
        <v>28976.5</v>
      </c>
      <c r="C78" s="7">
        <v>22443.5</v>
      </c>
      <c r="D78" s="7">
        <v>17534.2</v>
      </c>
      <c r="F78" s="2">
        <f aca="true" t="shared" si="7" ref="F78:F86">B78/B$75</f>
        <v>0.6072739161324261</v>
      </c>
      <c r="G78" s="2">
        <f aca="true" t="shared" si="8" ref="G78:G86">C78/C$75</f>
        <v>0.5560386688865105</v>
      </c>
      <c r="H78" s="2">
        <f aca="true" t="shared" si="9" ref="H78:H86">D78/D$75</f>
        <v>0.5359845937519105</v>
      </c>
      <c r="J78" s="2">
        <f aca="true" t="shared" si="10" ref="J78:J86">(B78-C78)/ABS(C78)</f>
        <v>0.29108650611535636</v>
      </c>
      <c r="K78" s="2">
        <f aca="true" t="shared" si="11" ref="K78:K86">(C78-D78)/ABS(D78)</f>
        <v>0.2799842593331888</v>
      </c>
      <c r="M78" s="7">
        <f>B78*1.25</f>
        <v>36220.625</v>
      </c>
      <c r="N78" s="7">
        <f>B78</f>
        <v>28976.5</v>
      </c>
      <c r="O78" s="7">
        <f>B78*0.75</f>
        <v>21732.375</v>
      </c>
    </row>
    <row r="79" spans="1:15" ht="12.75">
      <c r="A79" t="s">
        <v>261</v>
      </c>
      <c r="B79" s="7">
        <v>6224.4</v>
      </c>
      <c r="C79" s="7">
        <v>6167.7</v>
      </c>
      <c r="D79" s="7">
        <v>5199.9</v>
      </c>
      <c r="F79" s="2">
        <f t="shared" si="7"/>
        <v>0.13044763044448682</v>
      </c>
      <c r="G79" s="2">
        <f t="shared" si="8"/>
        <v>0.15280503032465217</v>
      </c>
      <c r="H79" s="2">
        <f t="shared" si="9"/>
        <v>0.1589502965091398</v>
      </c>
      <c r="J79" s="2">
        <f t="shared" si="10"/>
        <v>0.009193054136874332</v>
      </c>
      <c r="K79" s="2">
        <f t="shared" si="11"/>
        <v>0.18611896382622747</v>
      </c>
      <c r="M79" s="7">
        <f>B79*1.25</f>
        <v>7780.5</v>
      </c>
      <c r="N79" s="7">
        <f>B79</f>
        <v>6224.4</v>
      </c>
      <c r="O79" s="7">
        <f>B79*0.75</f>
        <v>4668.299999999999</v>
      </c>
    </row>
    <row r="80" spans="1:15" ht="12.75">
      <c r="A80" t="s">
        <v>262</v>
      </c>
      <c r="B80" s="7">
        <v>2456.4</v>
      </c>
      <c r="C80" s="7">
        <v>2343.8</v>
      </c>
      <c r="D80" s="7">
        <v>2068.3</v>
      </c>
      <c r="F80" s="2">
        <f t="shared" si="7"/>
        <v>0.05147991122418827</v>
      </c>
      <c r="G80" s="2">
        <f t="shared" si="8"/>
        <v>0.05806774487652119</v>
      </c>
      <c r="H80" s="2">
        <f t="shared" si="9"/>
        <v>0.06322369627682338</v>
      </c>
      <c r="J80" s="2">
        <f t="shared" si="10"/>
        <v>0.048041641778308684</v>
      </c>
      <c r="K80" s="2">
        <f t="shared" si="11"/>
        <v>0.13320117971280762</v>
      </c>
      <c r="M80" s="7">
        <f>B80*1.25</f>
        <v>3070.5</v>
      </c>
      <c r="N80" s="7">
        <f>B80</f>
        <v>2456.4</v>
      </c>
      <c r="O80" s="7">
        <f>B80*0.75</f>
        <v>1842.3000000000002</v>
      </c>
    </row>
    <row r="81" spans="1:15" ht="12.75">
      <c r="A81" t="s">
        <v>263</v>
      </c>
      <c r="B81" s="7">
        <v>-685.9</v>
      </c>
      <c r="C81" s="7">
        <v>-764.9</v>
      </c>
      <c r="D81" s="7">
        <v>-762</v>
      </c>
      <c r="F81" s="2">
        <f t="shared" si="7"/>
        <v>-0.01437472362346146</v>
      </c>
      <c r="G81" s="2">
        <f t="shared" si="8"/>
        <v>-0.018950430094739765</v>
      </c>
      <c r="H81" s="2">
        <f t="shared" si="9"/>
        <v>-0.023292779849605674</v>
      </c>
      <c r="J81" s="2">
        <f t="shared" si="10"/>
        <v>0.10328147470257551</v>
      </c>
      <c r="K81" s="2">
        <f t="shared" si="11"/>
        <v>-0.003805774278215193</v>
      </c>
      <c r="M81" s="7">
        <f>B81*1.25</f>
        <v>-857.375</v>
      </c>
      <c r="N81" s="7">
        <f>B81</f>
        <v>-685.9</v>
      </c>
      <c r="O81" s="7">
        <f>B81*0.75</f>
        <v>-514.425</v>
      </c>
    </row>
    <row r="82" spans="1:15" ht="12.75">
      <c r="A82" t="s">
        <v>264</v>
      </c>
      <c r="B82" s="62">
        <v>341.7</v>
      </c>
      <c r="C82" s="62">
        <v>349</v>
      </c>
      <c r="D82" s="62">
        <v>54.1</v>
      </c>
      <c r="F82" s="30">
        <f t="shared" si="7"/>
        <v>0.007161164983433126</v>
      </c>
      <c r="G82" s="30">
        <f t="shared" si="8"/>
        <v>0.00864648987196258</v>
      </c>
      <c r="H82" s="30">
        <f t="shared" si="9"/>
        <v>0.0016537262334168858</v>
      </c>
      <c r="J82" s="30">
        <f t="shared" si="10"/>
        <v>-0.020916905444126107</v>
      </c>
      <c r="K82" s="30">
        <f t="shared" si="11"/>
        <v>5.451016635859519</v>
      </c>
      <c r="M82" s="62">
        <f>B82*1.25</f>
        <v>427.125</v>
      </c>
      <c r="N82" s="62">
        <f>B82</f>
        <v>341.7</v>
      </c>
      <c r="O82" s="62">
        <f>B82*0.75</f>
        <v>256.275</v>
      </c>
    </row>
    <row r="83" spans="1:15" ht="12.75">
      <c r="A83" t="s">
        <v>265</v>
      </c>
      <c r="B83" s="62">
        <f>+SUM(B78:B82)</f>
        <v>37313.1</v>
      </c>
      <c r="C83" s="62">
        <f>+SUM(C78:C82)</f>
        <v>30539.1</v>
      </c>
      <c r="D83" s="62">
        <f>+SUM(D78:D82)</f>
        <v>24094.499999999996</v>
      </c>
      <c r="F83" s="30">
        <f t="shared" si="7"/>
        <v>0.7819878991610728</v>
      </c>
      <c r="G83" s="30">
        <f t="shared" si="8"/>
        <v>0.7566075038649067</v>
      </c>
      <c r="H83" s="30">
        <f t="shared" si="9"/>
        <v>0.7365195329216848</v>
      </c>
      <c r="J83" s="30">
        <f t="shared" si="10"/>
        <v>0.22181400237728027</v>
      </c>
      <c r="K83" s="30">
        <f t="shared" si="11"/>
        <v>0.26747182967067185</v>
      </c>
      <c r="M83" s="62">
        <f>+SUM(M78:M82)</f>
        <v>46641.375</v>
      </c>
      <c r="N83" s="62">
        <f>+SUM(N78:N82)</f>
        <v>37313.1</v>
      </c>
      <c r="O83" s="62">
        <f>+SUM(O78:O82)</f>
        <v>27984.825</v>
      </c>
    </row>
    <row r="84" spans="1:15" ht="12.75">
      <c r="A84" t="s">
        <v>266</v>
      </c>
      <c r="B84" s="7">
        <f>+B75-B83</f>
        <v>10402.599999999999</v>
      </c>
      <c r="C84" s="7">
        <f>+C75-C83</f>
        <v>9824.099999999999</v>
      </c>
      <c r="D84" s="7">
        <f>+D75-D83</f>
        <v>8619.500000000004</v>
      </c>
      <c r="F84" s="2">
        <f t="shared" si="7"/>
        <v>0.21801210083892722</v>
      </c>
      <c r="G84" s="2">
        <f t="shared" si="8"/>
        <v>0.24339249613509334</v>
      </c>
      <c r="H84" s="2">
        <f t="shared" si="9"/>
        <v>0.2634804670783152</v>
      </c>
      <c r="J84" s="2">
        <f t="shared" si="10"/>
        <v>0.058885801243879855</v>
      </c>
      <c r="K84" s="2">
        <f t="shared" si="11"/>
        <v>0.1397528858982533</v>
      </c>
      <c r="M84" s="7">
        <f>B84*1.25</f>
        <v>13003.249999999998</v>
      </c>
      <c r="N84" s="7">
        <f>B84</f>
        <v>10402.599999999999</v>
      </c>
      <c r="O84" s="7">
        <f>B84*0.75</f>
        <v>7801.949999999999</v>
      </c>
    </row>
    <row r="85" spans="1:15" ht="12.75">
      <c r="A85" t="s">
        <v>267</v>
      </c>
      <c r="B85" s="7">
        <v>3120.8</v>
      </c>
      <c r="C85" s="7">
        <v>3002.4</v>
      </c>
      <c r="D85" s="7">
        <v>2729</v>
      </c>
      <c r="F85" s="2">
        <f t="shared" si="7"/>
        <v>0.06540404940093093</v>
      </c>
      <c r="G85" s="2">
        <f t="shared" si="8"/>
        <v>0.07438458794149126</v>
      </c>
      <c r="H85" s="2">
        <f t="shared" si="9"/>
        <v>0.08341994253224919</v>
      </c>
      <c r="J85" s="2">
        <f t="shared" si="10"/>
        <v>0.03943511857180925</v>
      </c>
      <c r="K85" s="2">
        <f t="shared" si="11"/>
        <v>0.10018321729571275</v>
      </c>
      <c r="M85" s="7">
        <f>B85*1.25</f>
        <v>3901</v>
      </c>
      <c r="N85" s="7">
        <f>B85</f>
        <v>3120.8</v>
      </c>
      <c r="O85" s="7">
        <f>B85*0.75</f>
        <v>2340.6000000000004</v>
      </c>
    </row>
    <row r="86" spans="1:15" ht="13.5" thickBot="1">
      <c r="A86" t="s">
        <v>268</v>
      </c>
      <c r="B86" s="64">
        <f>+B84-B85</f>
        <v>7281.799999999998</v>
      </c>
      <c r="C86" s="64">
        <f>+C84-C85</f>
        <v>6821.699999999999</v>
      </c>
      <c r="D86" s="64">
        <f>+D84-D85</f>
        <v>5890.500000000004</v>
      </c>
      <c r="F86" s="32">
        <f t="shared" si="7"/>
        <v>0.15260805143799627</v>
      </c>
      <c r="G86" s="32">
        <f t="shared" si="8"/>
        <v>0.1690079081936021</v>
      </c>
      <c r="H86" s="32">
        <f t="shared" si="9"/>
        <v>0.18006052454606603</v>
      </c>
      <c r="J86" s="32">
        <f t="shared" si="10"/>
        <v>0.0674465309233768</v>
      </c>
      <c r="K86" s="32">
        <f t="shared" si="11"/>
        <v>0.15808505220269836</v>
      </c>
      <c r="M86" s="64">
        <f>+M84-M85</f>
        <v>9102.249999999998</v>
      </c>
      <c r="N86" s="64">
        <f>+N84-N85</f>
        <v>7281.799999999998</v>
      </c>
      <c r="O86" s="64">
        <f>+O84-O85</f>
        <v>5461.3499999999985</v>
      </c>
    </row>
    <row r="87" spans="1:4" ht="14.25" thickBot="1" thickTop="1">
      <c r="A87" t="s">
        <v>269</v>
      </c>
      <c r="B87" s="64">
        <v>3.18</v>
      </c>
      <c r="C87" s="64">
        <v>2.96</v>
      </c>
      <c r="D87" s="64">
        <v>2.51</v>
      </c>
    </row>
    <row r="88" spans="1:4" ht="14.25" thickBot="1" thickTop="1">
      <c r="A88" t="s">
        <v>270</v>
      </c>
      <c r="B88" s="64">
        <v>3.14</v>
      </c>
      <c r="C88" s="64">
        <v>2.9</v>
      </c>
      <c r="D88" s="64">
        <v>2.45</v>
      </c>
    </row>
    <row r="89" ht="13.5" thickTop="1"/>
    <row r="90" ht="12.75">
      <c r="A90" s="28" t="s">
        <v>271</v>
      </c>
    </row>
    <row r="91" ht="13.5" customHeight="1">
      <c r="A91" s="28" t="s">
        <v>212</v>
      </c>
    </row>
    <row r="92" ht="12.75">
      <c r="A92" s="28" t="s">
        <v>256</v>
      </c>
    </row>
    <row r="93" spans="1:4" ht="12.75">
      <c r="A93" s="28" t="s">
        <v>213</v>
      </c>
      <c r="B93" s="24">
        <v>36891</v>
      </c>
      <c r="C93" s="24">
        <v>36891</v>
      </c>
      <c r="D93" s="24">
        <v>36891</v>
      </c>
    </row>
    <row r="94" spans="2:4" ht="12.75">
      <c r="B94" s="42">
        <v>2001</v>
      </c>
      <c r="C94" s="42">
        <v>2000</v>
      </c>
      <c r="D94" s="42">
        <v>1999</v>
      </c>
    </row>
    <row r="96" spans="1:4" ht="12.75">
      <c r="A96" t="s">
        <v>272</v>
      </c>
      <c r="B96" s="5">
        <v>27363.9</v>
      </c>
      <c r="C96" s="5">
        <v>23447.9</v>
      </c>
      <c r="D96" s="5">
        <v>20186.7</v>
      </c>
    </row>
    <row r="98" spans="1:4" ht="12.75">
      <c r="A98" t="s">
        <v>268</v>
      </c>
      <c r="B98" s="7">
        <v>7281.8</v>
      </c>
      <c r="C98" s="7">
        <v>6821.7</v>
      </c>
      <c r="D98" s="7">
        <v>5890.5</v>
      </c>
    </row>
    <row r="99" spans="1:4" ht="12.75">
      <c r="A99" t="s">
        <v>273</v>
      </c>
      <c r="B99" s="7">
        <v>-3156.1</v>
      </c>
      <c r="C99" s="7">
        <v>-2905.7</v>
      </c>
      <c r="D99" s="7">
        <v>-2629.3</v>
      </c>
    </row>
    <row r="100" spans="1:4" ht="13.5" thickBot="1">
      <c r="A100" t="s">
        <v>274</v>
      </c>
      <c r="B100" s="64">
        <f>+B96+B98+B99</f>
        <v>31489.600000000006</v>
      </c>
      <c r="C100" s="64">
        <f>+C96+C98+C99</f>
        <v>27363.9</v>
      </c>
      <c r="D100" s="64">
        <f>+D96+D98+D99</f>
        <v>23447.9</v>
      </c>
    </row>
    <row r="101" ht="13.5" thickTop="1"/>
    <row r="102" ht="12.75">
      <c r="A102" s="28" t="s">
        <v>275</v>
      </c>
    </row>
    <row r="103" ht="12.75">
      <c r="A103" s="28" t="s">
        <v>212</v>
      </c>
    </row>
    <row r="104" ht="12.75">
      <c r="A104" s="28" t="s">
        <v>256</v>
      </c>
    </row>
    <row r="105" ht="12.75">
      <c r="A105" s="28" t="s">
        <v>213</v>
      </c>
    </row>
    <row r="106" spans="2:4" ht="12.75">
      <c r="B106" s="3">
        <v>36891</v>
      </c>
      <c r="C106" s="3">
        <v>36891</v>
      </c>
      <c r="D106" s="3">
        <v>36891</v>
      </c>
    </row>
    <row r="107" spans="2:4" ht="12.75">
      <c r="B107" s="65">
        <v>2001</v>
      </c>
      <c r="C107" s="65">
        <v>2000</v>
      </c>
      <c r="D107" s="65">
        <v>1999</v>
      </c>
    </row>
    <row r="109" spans="1:4" ht="12.75">
      <c r="A109" t="s">
        <v>268</v>
      </c>
      <c r="B109" s="5">
        <v>7281.8</v>
      </c>
      <c r="C109" s="5">
        <v>6821.7</v>
      </c>
      <c r="D109" s="5">
        <v>5890.5</v>
      </c>
    </row>
    <row r="111" ht="12.75">
      <c r="A111" t="s">
        <v>276</v>
      </c>
    </row>
    <row r="112" ht="12.75">
      <c r="A112" t="s">
        <v>277</v>
      </c>
    </row>
    <row r="113" spans="1:4" ht="12.75">
      <c r="A113" s="6" t="s">
        <v>278</v>
      </c>
      <c r="B113">
        <v>7.3</v>
      </c>
      <c r="C113" s="66" t="s">
        <v>1</v>
      </c>
      <c r="D113" s="66" t="s">
        <v>1</v>
      </c>
    </row>
    <row r="114" ht="12.75">
      <c r="A114" t="s">
        <v>279</v>
      </c>
    </row>
    <row r="115" spans="1:4" ht="12.75">
      <c r="A115" s="6" t="s">
        <v>278</v>
      </c>
      <c r="B115" s="7">
        <v>11.1</v>
      </c>
      <c r="C115" s="7">
        <v>24.3</v>
      </c>
      <c r="D115" s="7">
        <v>25.6</v>
      </c>
    </row>
    <row r="116" spans="1:4" ht="12.75">
      <c r="A116" t="s">
        <v>280</v>
      </c>
      <c r="B116" s="62">
        <v>-38.6</v>
      </c>
      <c r="C116" s="62">
        <v>-1.6</v>
      </c>
      <c r="D116" s="62">
        <v>3.8</v>
      </c>
    </row>
    <row r="117" spans="1:4" ht="12.75">
      <c r="A117" t="s">
        <v>281</v>
      </c>
      <c r="B117" s="7">
        <f>+B113+B115+B116</f>
        <v>-20.200000000000003</v>
      </c>
      <c r="C117" s="7">
        <f>+C115+C116</f>
        <v>22.7</v>
      </c>
      <c r="D117" s="7">
        <f>+D115+D116</f>
        <v>29.400000000000002</v>
      </c>
    </row>
    <row r="118" spans="1:4" ht="13.5" thickBot="1">
      <c r="A118" t="s">
        <v>282</v>
      </c>
      <c r="B118" s="64">
        <f>+B109+B117</f>
        <v>7261.6</v>
      </c>
      <c r="C118" s="64">
        <f>+C109+C117</f>
        <v>6844.4</v>
      </c>
      <c r="D118" s="64">
        <f>+D109+D117</f>
        <v>5919.9</v>
      </c>
    </row>
    <row r="119" ht="13.5" thickTop="1"/>
    <row r="120" ht="12.75">
      <c r="A120" s="28" t="s">
        <v>283</v>
      </c>
    </row>
    <row r="121" ht="12.75">
      <c r="A121" s="28" t="s">
        <v>284</v>
      </c>
    </row>
    <row r="122" ht="12.75">
      <c r="A122" s="28" t="s">
        <v>256</v>
      </c>
    </row>
    <row r="123" ht="12.75">
      <c r="A123" s="28" t="s">
        <v>213</v>
      </c>
    </row>
    <row r="124" spans="2:4" ht="12.75">
      <c r="B124" s="24">
        <v>36891</v>
      </c>
      <c r="C124" s="24">
        <v>36891</v>
      </c>
      <c r="D124" s="24">
        <v>36891</v>
      </c>
    </row>
    <row r="125" spans="2:4" ht="12.75">
      <c r="B125" s="42">
        <v>2001</v>
      </c>
      <c r="C125" s="42">
        <v>2000</v>
      </c>
      <c r="D125" s="42">
        <v>1999</v>
      </c>
    </row>
    <row r="126" ht="12.75">
      <c r="A126" t="s">
        <v>285</v>
      </c>
    </row>
    <row r="127" spans="1:4" ht="12.75">
      <c r="A127" t="s">
        <v>286</v>
      </c>
      <c r="B127" s="5">
        <v>10402.6</v>
      </c>
      <c r="C127" s="5">
        <v>9824.1</v>
      </c>
      <c r="D127" s="5">
        <v>8619.5</v>
      </c>
    </row>
    <row r="128" ht="12.75">
      <c r="A128" t="s">
        <v>287</v>
      </c>
    </row>
    <row r="129" ht="12.75">
      <c r="A129" s="6" t="s">
        <v>288</v>
      </c>
    </row>
    <row r="130" spans="1:4" ht="12.75">
      <c r="A130" s="8" t="s">
        <v>289</v>
      </c>
      <c r="B130" s="7">
        <v>1463.8</v>
      </c>
      <c r="C130" s="7">
        <v>1277.3</v>
      </c>
      <c r="D130" s="7">
        <v>1144.8</v>
      </c>
    </row>
    <row r="131" spans="1:4" ht="12.75">
      <c r="A131" s="8" t="s">
        <v>290</v>
      </c>
      <c r="B131" s="7">
        <v>-359.5</v>
      </c>
      <c r="C131" s="7">
        <v>-222.8</v>
      </c>
      <c r="D131" s="7">
        <v>-496.6</v>
      </c>
    </row>
    <row r="132" spans="1:4" ht="12.75">
      <c r="A132" s="8" t="s">
        <v>291</v>
      </c>
      <c r="B132" s="7"/>
      <c r="C132" s="7"/>
      <c r="D132" s="7"/>
    </row>
    <row r="133" spans="1:4" ht="12.75">
      <c r="A133" s="9" t="s">
        <v>217</v>
      </c>
      <c r="B133" s="7">
        <v>-9.2</v>
      </c>
      <c r="C133" s="7">
        <v>-885.8</v>
      </c>
      <c r="D133" s="7">
        <v>-1021.4</v>
      </c>
    </row>
    <row r="134" spans="1:4" ht="12.75">
      <c r="A134" s="9" t="s">
        <v>218</v>
      </c>
      <c r="B134" s="7">
        <v>-557.5</v>
      </c>
      <c r="C134" s="7">
        <v>-210.1</v>
      </c>
      <c r="D134" s="7">
        <v>-223</v>
      </c>
    </row>
    <row r="135" spans="1:4" ht="12.75">
      <c r="A135" s="9" t="s">
        <v>234</v>
      </c>
      <c r="B135" s="7">
        <v>458.3</v>
      </c>
      <c r="C135" s="7">
        <v>-37.7</v>
      </c>
      <c r="D135" s="7">
        <v>673</v>
      </c>
    </row>
    <row r="136" spans="1:4" ht="12.75">
      <c r="A136" s="9" t="s">
        <v>292</v>
      </c>
      <c r="B136" s="7">
        <v>-261.9</v>
      </c>
      <c r="C136" s="7">
        <v>-94.3</v>
      </c>
      <c r="D136" s="7">
        <v>-150.9</v>
      </c>
    </row>
    <row r="137" spans="1:4" ht="12.75">
      <c r="A137" s="9" t="s">
        <v>293</v>
      </c>
      <c r="B137" s="62">
        <v>246.6</v>
      </c>
      <c r="C137" s="62">
        <v>204.3</v>
      </c>
      <c r="D137" s="62">
        <v>69.9</v>
      </c>
    </row>
    <row r="138" spans="1:4" ht="12.75">
      <c r="A138" t="s">
        <v>294</v>
      </c>
      <c r="B138" s="7">
        <f>+SUM(B127:B137)</f>
        <v>11383.199999999999</v>
      </c>
      <c r="C138" s="7">
        <f>+SUM(C127:C137)</f>
        <v>9855</v>
      </c>
      <c r="D138" s="7">
        <f>+SUM(D127:D137)</f>
        <v>8615.3</v>
      </c>
    </row>
    <row r="139" spans="1:4" ht="12.75">
      <c r="A139" t="s">
        <v>295</v>
      </c>
      <c r="B139" s="62">
        <v>-2303.3</v>
      </c>
      <c r="C139" s="62">
        <v>-2167.7</v>
      </c>
      <c r="D139" s="62">
        <v>-2484.6</v>
      </c>
    </row>
    <row r="140" spans="1:4" ht="12.75">
      <c r="A140" t="s">
        <v>296</v>
      </c>
      <c r="B140" s="7">
        <f>+B138+B139</f>
        <v>9079.899999999998</v>
      </c>
      <c r="C140" s="7">
        <f>+C138+C139</f>
        <v>7687.3</v>
      </c>
      <c r="D140" s="7">
        <f>+D138+D139</f>
        <v>6130.699999999999</v>
      </c>
    </row>
    <row r="141" spans="2:4" ht="12.75">
      <c r="B141" s="7"/>
      <c r="C141" s="7"/>
      <c r="D141" s="7"/>
    </row>
    <row r="142" spans="1:4" ht="12.75">
      <c r="A142" t="s">
        <v>297</v>
      </c>
      <c r="B142" s="7"/>
      <c r="C142" s="7"/>
      <c r="D142" s="7"/>
    </row>
    <row r="143" spans="1:4" ht="12.75">
      <c r="A143" t="s">
        <v>298</v>
      </c>
      <c r="B143" s="7">
        <v>-2724.7</v>
      </c>
      <c r="C143" s="7">
        <v>-2727.8</v>
      </c>
      <c r="D143" s="7">
        <v>-2560.5</v>
      </c>
    </row>
    <row r="144" spans="1:4" ht="12.75">
      <c r="A144" t="s">
        <v>299</v>
      </c>
      <c r="B144" s="7">
        <v>-34780.4</v>
      </c>
      <c r="C144" s="7">
        <v>-28637.1</v>
      </c>
      <c r="D144" s="7">
        <v>-42211.2</v>
      </c>
    </row>
    <row r="145" spans="1:4" ht="12.75">
      <c r="A145" t="s">
        <v>300</v>
      </c>
      <c r="B145" s="7">
        <v>33383</v>
      </c>
      <c r="C145" s="7">
        <v>27667.5</v>
      </c>
      <c r="D145" s="7">
        <v>40308.7</v>
      </c>
    </row>
    <row r="146" spans="1:4" ht="12.75">
      <c r="A146" t="s">
        <v>301</v>
      </c>
      <c r="B146" s="67" t="s">
        <v>1</v>
      </c>
      <c r="C146" s="67">
        <v>92.6</v>
      </c>
      <c r="D146" s="67">
        <v>1679.9</v>
      </c>
    </row>
    <row r="147" spans="1:4" ht="12.75">
      <c r="A147" t="s">
        <v>302</v>
      </c>
      <c r="B147" s="62">
        <v>-190.2</v>
      </c>
      <c r="C147" s="62">
        <v>-36.5</v>
      </c>
      <c r="D147" s="62">
        <v>-33.9</v>
      </c>
    </row>
    <row r="148" spans="1:4" ht="12.75">
      <c r="A148" t="s">
        <v>303</v>
      </c>
      <c r="B148" s="7">
        <f>+B143+B144+B145+B147</f>
        <v>-4312.299999999998</v>
      </c>
      <c r="C148" s="7">
        <f>+C143+C144+C145+C147+C146</f>
        <v>-3641.299999999998</v>
      </c>
      <c r="D148" s="7">
        <f>+D143+D144+D145+D147+D146</f>
        <v>-2816.9999999999995</v>
      </c>
    </row>
    <row r="149" spans="2:4" ht="12.75">
      <c r="B149" s="7"/>
      <c r="C149" s="7"/>
      <c r="D149" s="7"/>
    </row>
    <row r="150" spans="1:4" ht="12.75">
      <c r="A150" t="s">
        <v>304</v>
      </c>
      <c r="B150" s="7"/>
      <c r="C150" s="7"/>
      <c r="D150" s="7"/>
    </row>
    <row r="151" spans="1:4" ht="12.75">
      <c r="A151" t="s">
        <v>305</v>
      </c>
      <c r="B151" s="7">
        <v>259.8</v>
      </c>
      <c r="C151" s="7">
        <v>905.6</v>
      </c>
      <c r="D151" s="7">
        <v>2137.9</v>
      </c>
    </row>
    <row r="152" spans="1:4" ht="12.75">
      <c r="A152" t="s">
        <v>306</v>
      </c>
      <c r="B152" s="7">
        <v>1694.4</v>
      </c>
      <c r="C152" s="7">
        <v>442.1</v>
      </c>
      <c r="D152" s="7">
        <v>11.6</v>
      </c>
    </row>
    <row r="153" spans="1:4" ht="12.75">
      <c r="A153" t="s">
        <v>307</v>
      </c>
      <c r="B153" s="7">
        <v>-11</v>
      </c>
      <c r="C153" s="7">
        <v>-443.2</v>
      </c>
      <c r="D153" s="7">
        <v>-17.5</v>
      </c>
    </row>
    <row r="154" spans="1:4" ht="12.75">
      <c r="A154" t="s">
        <v>308</v>
      </c>
      <c r="B154" s="67" t="s">
        <v>1</v>
      </c>
      <c r="C154" s="67">
        <v>1500</v>
      </c>
      <c r="D154" s="67" t="s">
        <v>1</v>
      </c>
    </row>
    <row r="155" spans="1:4" ht="12.75">
      <c r="A155" t="s">
        <v>309</v>
      </c>
      <c r="B155" s="7">
        <v>-3890.8</v>
      </c>
      <c r="C155" s="7">
        <v>-3545.4</v>
      </c>
      <c r="D155" s="7">
        <v>-3582.1</v>
      </c>
    </row>
    <row r="156" spans="1:4" ht="12.75">
      <c r="A156" t="s">
        <v>310</v>
      </c>
      <c r="B156" s="7">
        <v>-3145</v>
      </c>
      <c r="C156" s="7">
        <v>-2798</v>
      </c>
      <c r="D156" s="7">
        <v>-2589.7</v>
      </c>
    </row>
    <row r="157" spans="1:4" ht="12.75">
      <c r="A157" t="s">
        <v>311</v>
      </c>
      <c r="B157" s="7">
        <v>300.6</v>
      </c>
      <c r="C157" s="7">
        <v>640.7</v>
      </c>
      <c r="D157" s="7">
        <v>322.9</v>
      </c>
    </row>
    <row r="158" spans="1:4" ht="12.75">
      <c r="A158" t="s">
        <v>302</v>
      </c>
      <c r="B158" s="62">
        <v>-279.2</v>
      </c>
      <c r="C158" s="62">
        <v>-149.2</v>
      </c>
      <c r="D158" s="62">
        <v>-152.5</v>
      </c>
    </row>
    <row r="159" spans="1:4" ht="12.75">
      <c r="A159" t="s">
        <v>312</v>
      </c>
      <c r="B159" s="7">
        <f>+B151+B152+B153+B155+B156+B157+B158</f>
        <v>-5071.2</v>
      </c>
      <c r="C159" s="7">
        <f>+C151+C152+C153+C155+C156+C157+C158+C154</f>
        <v>-3447.3999999999996</v>
      </c>
      <c r="D159" s="7">
        <f>+D151+D152+D153+D155+D156+D157+D158</f>
        <v>-3869.3999999999996</v>
      </c>
    </row>
    <row r="160" spans="2:4" ht="12.75">
      <c r="B160" s="7"/>
      <c r="C160" s="7"/>
      <c r="D160" s="7"/>
    </row>
    <row r="161" spans="1:4" ht="12.75">
      <c r="A161" t="s">
        <v>313</v>
      </c>
      <c r="B161" s="62">
        <v>-89.2</v>
      </c>
      <c r="C161" s="62">
        <v>-83.7</v>
      </c>
      <c r="D161" s="62">
        <v>-28.6</v>
      </c>
    </row>
    <row r="162" spans="1:4" ht="12.75">
      <c r="A162" t="s">
        <v>314</v>
      </c>
      <c r="B162" s="7">
        <f>+B161+B159+B148+B140</f>
        <v>-392.7999999999993</v>
      </c>
      <c r="C162" s="7">
        <f>+C161+C159+C148+C140</f>
        <v>514.9000000000024</v>
      </c>
      <c r="D162" s="7">
        <f>+D161+D159+D148+D140</f>
        <v>-584.3000000000002</v>
      </c>
    </row>
    <row r="163" spans="1:4" ht="12.75">
      <c r="A163" t="s">
        <v>315</v>
      </c>
      <c r="B163" s="7">
        <v>2536.8</v>
      </c>
      <c r="C163" s="7">
        <v>2021.9</v>
      </c>
      <c r="D163" s="7">
        <v>2606.2</v>
      </c>
    </row>
    <row r="164" spans="1:4" ht="13.5" thickBot="1">
      <c r="A164" t="s">
        <v>316</v>
      </c>
      <c r="B164" s="64">
        <f>+B162+B163</f>
        <v>2144.000000000001</v>
      </c>
      <c r="C164" s="64">
        <f>+C162+C163</f>
        <v>2536.8000000000025</v>
      </c>
      <c r="D164" s="64">
        <f>+D162+D163</f>
        <v>2021.8999999999996</v>
      </c>
    </row>
    <row r="165" ht="13.5" thickTop="1"/>
    <row r="166" spans="1:2" ht="12.75">
      <c r="A166" s="69"/>
      <c r="B166" s="70"/>
    </row>
    <row r="169" ht="12.75">
      <c r="A169" s="68"/>
    </row>
    <row r="170" spans="1:3" ht="12.75">
      <c r="A170" s="68"/>
      <c r="C170" s="1"/>
    </row>
    <row r="171" ht="12.75">
      <c r="A171" s="68"/>
    </row>
    <row r="172" ht="12.75">
      <c r="A172" s="68"/>
    </row>
    <row r="173" ht="12.75">
      <c r="B173" s="4"/>
    </row>
    <row r="174" ht="12.75">
      <c r="B174" s="4"/>
    </row>
    <row r="175" ht="12.75">
      <c r="B175" s="4"/>
    </row>
    <row r="184" ht="12.75">
      <c r="C184" s="4"/>
    </row>
    <row r="185" ht="12.75">
      <c r="C185" s="4"/>
    </row>
    <row r="187" ht="12.75">
      <c r="C187" s="4"/>
    </row>
    <row r="190" ht="12.75">
      <c r="C190" s="4"/>
    </row>
    <row r="191" ht="12.75">
      <c r="C191" s="4"/>
    </row>
    <row r="193" ht="12.75">
      <c r="C193" s="4"/>
    </row>
    <row r="194" ht="12.75">
      <c r="C194" s="4"/>
    </row>
    <row r="201" ht="12.75">
      <c r="C201" s="4"/>
    </row>
    <row r="204" ht="12.75">
      <c r="C204" s="4"/>
    </row>
    <row r="205" ht="12.75">
      <c r="C205" s="4"/>
    </row>
    <row r="209" ht="12.75">
      <c r="C209" s="4"/>
    </row>
    <row r="213" ht="12.75">
      <c r="C213" s="4"/>
    </row>
    <row r="214" ht="12.75">
      <c r="C214" s="4"/>
    </row>
    <row r="216" ht="12.75">
      <c r="C216" s="1"/>
    </row>
  </sheetData>
  <printOptions/>
  <pageMargins left="0.75" right="0.75" top="1" bottom="1" header="0.5" footer="0.5"/>
  <pageSetup horizontalDpi="300" verticalDpi="300" orientation="portrait" scale="50" r:id="rId1"/>
  <headerFooter alignWithMargins="0">
    <oddHeader>&amp;LMerck's Common-size and Percentage-change Financial Statements</oddHeader>
    <oddFooter>&amp;LCopyright ©2007 Cardean Learning Group LLC. All rights reserved.</oddFooter>
  </headerFooter>
  <rowBreaks count="3" manualBreakCount="3">
    <brk id="67" max="14" man="1"/>
    <brk id="89" max="14" man="1"/>
    <brk id="119" max="14" man="1"/>
  </rowBreaks>
  <colBreaks count="1" manualBreakCount="1">
    <brk id="15" max="1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BreakPreview" zoomScale="75" zoomScaleSheetLayoutView="75" workbookViewId="0" topLeftCell="A1">
      <selection activeCell="B83" sqref="B83"/>
    </sheetView>
  </sheetViews>
  <sheetFormatPr defaultColWidth="9.140625" defaultRowHeight="12.75"/>
  <cols>
    <col min="1" max="1" width="40.140625" style="0" customWidth="1"/>
    <col min="2" max="2" width="47.00390625" style="0" customWidth="1"/>
    <col min="3" max="3" width="2.421875" style="0" customWidth="1"/>
    <col min="4" max="4" width="15.140625" style="0" customWidth="1"/>
    <col min="5" max="5" width="2.7109375" style="0" customWidth="1"/>
    <col min="6" max="6" width="15.140625" style="0" customWidth="1"/>
    <col min="7" max="7" width="2.7109375" style="0" customWidth="1"/>
    <col min="8" max="8" width="15.140625" style="0" customWidth="1"/>
  </cols>
  <sheetData>
    <row r="1" ht="12.75">
      <c r="C1" s="53"/>
    </row>
    <row r="2" ht="12.75">
      <c r="C2" s="53"/>
    </row>
    <row r="3" ht="12.75">
      <c r="C3" s="41"/>
    </row>
    <row r="4" ht="12.75">
      <c r="C4" s="53"/>
    </row>
    <row r="5" ht="12.75">
      <c r="C5" s="41"/>
    </row>
    <row r="7" ht="12.75">
      <c r="A7" s="28" t="s">
        <v>317</v>
      </c>
    </row>
    <row r="8" ht="12.75">
      <c r="A8" s="28" t="s">
        <v>318</v>
      </c>
    </row>
    <row r="9" ht="12.75">
      <c r="A9" s="28" t="s">
        <v>121</v>
      </c>
    </row>
    <row r="10" spans="1:8" ht="12.75">
      <c r="A10" s="28"/>
      <c r="B10" s="28"/>
      <c r="C10" s="28"/>
      <c r="D10" s="51" t="s">
        <v>156</v>
      </c>
      <c r="E10" s="51"/>
      <c r="F10" s="51" t="s">
        <v>156</v>
      </c>
      <c r="G10" s="51"/>
      <c r="H10" s="51" t="s">
        <v>156</v>
      </c>
    </row>
    <row r="11" spans="1:8" ht="12.75">
      <c r="A11" s="28"/>
      <c r="B11" s="28"/>
      <c r="C11" s="28"/>
      <c r="D11" s="51" t="s">
        <v>157</v>
      </c>
      <c r="E11" s="51"/>
      <c r="F11" s="51" t="s">
        <v>157</v>
      </c>
      <c r="G11" s="51"/>
      <c r="H11" s="51" t="s">
        <v>157</v>
      </c>
    </row>
    <row r="12" spans="1:8" ht="12.75">
      <c r="A12" s="54" t="s">
        <v>177</v>
      </c>
      <c r="B12" s="28"/>
      <c r="C12" s="28"/>
      <c r="D12" s="52">
        <v>2001</v>
      </c>
      <c r="E12" s="52"/>
      <c r="F12" s="52">
        <v>2000</v>
      </c>
      <c r="G12" s="52"/>
      <c r="H12" s="52">
        <v>1999</v>
      </c>
    </row>
    <row r="13" spans="1:8" ht="12.75">
      <c r="A13" t="s">
        <v>158</v>
      </c>
      <c r="D13" s="44">
        <v>7281.8</v>
      </c>
      <c r="E13" s="44"/>
      <c r="F13" s="44">
        <v>6821.7</v>
      </c>
      <c r="G13" s="44"/>
      <c r="H13" s="44">
        <v>5890.5</v>
      </c>
    </row>
    <row r="14" spans="4:8" ht="12.75">
      <c r="D14" s="44"/>
      <c r="E14" s="44"/>
      <c r="F14" s="44"/>
      <c r="G14" s="44"/>
      <c r="H14" s="44"/>
    </row>
    <row r="15" spans="1:8" ht="12.75">
      <c r="A15" t="s">
        <v>159</v>
      </c>
      <c r="D15" s="44">
        <v>44006.7</v>
      </c>
      <c r="E15" s="44"/>
      <c r="F15" s="44">
        <v>40154.9</v>
      </c>
      <c r="G15" s="44"/>
      <c r="H15" s="45" t="s">
        <v>160</v>
      </c>
    </row>
    <row r="16" spans="4:8" ht="12.75">
      <c r="D16" s="44"/>
      <c r="E16" s="44"/>
      <c r="F16" s="44"/>
      <c r="G16" s="44"/>
      <c r="H16" s="44"/>
    </row>
    <row r="17" spans="1:8" ht="12.75">
      <c r="A17" t="s">
        <v>178</v>
      </c>
      <c r="D17" s="44">
        <v>12961.6</v>
      </c>
      <c r="E17" s="44"/>
      <c r="F17" s="44">
        <v>13597.9</v>
      </c>
      <c r="G17" s="44"/>
      <c r="H17" s="45" t="s">
        <v>160</v>
      </c>
    </row>
    <row r="18" spans="4:8" ht="12.75">
      <c r="D18" s="44"/>
      <c r="E18" s="44"/>
      <c r="F18" s="44"/>
      <c r="G18" s="44"/>
      <c r="H18" s="44"/>
    </row>
    <row r="19" spans="1:8" ht="12.75">
      <c r="A19" t="s">
        <v>179</v>
      </c>
      <c r="D19" s="44">
        <v>11544.2</v>
      </c>
      <c r="E19" s="44"/>
      <c r="F19" s="44">
        <v>9954.1</v>
      </c>
      <c r="G19" s="44"/>
      <c r="H19" s="45" t="s">
        <v>160</v>
      </c>
    </row>
    <row r="20" spans="4:8" ht="12.75">
      <c r="D20" s="44"/>
      <c r="E20" s="44"/>
      <c r="F20" s="44"/>
      <c r="G20" s="44"/>
      <c r="H20" s="44"/>
    </row>
    <row r="21" spans="1:8" ht="12.75">
      <c r="A21" t="s">
        <v>6</v>
      </c>
      <c r="D21" s="44">
        <v>2144</v>
      </c>
      <c r="E21" s="44"/>
      <c r="F21" s="44">
        <v>2536.8</v>
      </c>
      <c r="G21" s="44"/>
      <c r="H21" s="45" t="s">
        <v>160</v>
      </c>
    </row>
    <row r="22" spans="4:8" ht="12.75">
      <c r="D22" s="44"/>
      <c r="E22" s="44"/>
      <c r="F22" s="44"/>
      <c r="G22" s="44"/>
      <c r="H22" s="44"/>
    </row>
    <row r="23" spans="1:8" ht="12.75">
      <c r="A23" t="s">
        <v>319</v>
      </c>
      <c r="D23" s="44">
        <v>1142.6</v>
      </c>
      <c r="E23" s="44"/>
      <c r="F23" s="44">
        <v>1717.8</v>
      </c>
      <c r="G23" s="44"/>
      <c r="H23" s="45" t="s">
        <v>160</v>
      </c>
    </row>
    <row r="24" spans="4:8" ht="12.75">
      <c r="D24" s="44"/>
      <c r="E24" s="44"/>
      <c r="F24" s="44"/>
      <c r="G24" s="44"/>
      <c r="H24" s="44"/>
    </row>
    <row r="25" spans="1:8" ht="12.75">
      <c r="A25" t="s">
        <v>162</v>
      </c>
      <c r="D25" s="44">
        <v>5215.4</v>
      </c>
      <c r="E25" s="44"/>
      <c r="F25" s="44">
        <v>5262.4</v>
      </c>
      <c r="G25" s="44"/>
      <c r="H25" s="45" t="s">
        <v>160</v>
      </c>
    </row>
    <row r="26" spans="4:8" ht="12.75">
      <c r="D26" s="44"/>
      <c r="E26" s="44"/>
      <c r="F26" s="44"/>
      <c r="G26" s="44"/>
      <c r="H26" s="44"/>
    </row>
    <row r="27" spans="1:8" ht="12.75">
      <c r="A27" t="s">
        <v>163</v>
      </c>
      <c r="D27" s="44">
        <v>3579.3</v>
      </c>
      <c r="E27" s="44"/>
      <c r="F27" s="44">
        <v>3021.5</v>
      </c>
      <c r="G27" s="44"/>
      <c r="H27" s="45" t="s">
        <v>160</v>
      </c>
    </row>
    <row r="28" spans="4:8" ht="12.75">
      <c r="D28" s="44"/>
      <c r="E28" s="44"/>
      <c r="F28" s="44"/>
      <c r="G28" s="44"/>
      <c r="H28" s="44"/>
    </row>
    <row r="29" spans="1:8" ht="12.75">
      <c r="A29" t="s">
        <v>320</v>
      </c>
      <c r="D29" s="44">
        <v>464.7</v>
      </c>
      <c r="E29" s="44"/>
      <c r="F29" s="44">
        <v>484.4</v>
      </c>
      <c r="G29" s="44"/>
      <c r="H29" s="44">
        <v>316.9</v>
      </c>
    </row>
    <row r="30" spans="4:8" ht="12.75">
      <c r="D30" s="44"/>
      <c r="E30" s="44"/>
      <c r="F30" s="44"/>
      <c r="G30" s="44"/>
      <c r="H30" s="44"/>
    </row>
    <row r="31" spans="1:8" ht="12.75">
      <c r="A31" t="s">
        <v>181</v>
      </c>
      <c r="D31" s="44">
        <v>3120.8</v>
      </c>
      <c r="E31" s="44"/>
      <c r="F31" s="44">
        <v>3002.4</v>
      </c>
      <c r="G31" s="44"/>
      <c r="H31" s="44">
        <v>2729</v>
      </c>
    </row>
    <row r="32" spans="4:8" ht="12.75">
      <c r="D32" s="44"/>
      <c r="E32" s="44"/>
      <c r="F32" s="44"/>
      <c r="G32" s="44"/>
      <c r="H32" s="44"/>
    </row>
    <row r="33" spans="1:8" ht="12.75">
      <c r="A33" t="s">
        <v>164</v>
      </c>
      <c r="D33" s="44">
        <v>47715.7</v>
      </c>
      <c r="E33" s="44"/>
      <c r="F33" s="44">
        <v>40363.2</v>
      </c>
      <c r="G33" s="44"/>
      <c r="H33" s="44">
        <v>32714</v>
      </c>
    </row>
    <row r="34" spans="4:8" ht="12.75">
      <c r="D34" s="44"/>
      <c r="E34" s="44"/>
      <c r="F34" s="44"/>
      <c r="G34" s="44"/>
      <c r="H34" s="44"/>
    </row>
    <row r="35" spans="1:8" ht="12.75">
      <c r="A35" t="s">
        <v>321</v>
      </c>
      <c r="D35" s="44">
        <v>16050.1</v>
      </c>
      <c r="E35" s="44"/>
      <c r="F35" s="44">
        <v>14832.4</v>
      </c>
      <c r="G35" s="44"/>
      <c r="H35" s="45" t="s">
        <v>160</v>
      </c>
    </row>
    <row r="36" spans="4:8" ht="12.75">
      <c r="D36" s="44"/>
      <c r="E36" s="44"/>
      <c r="F36" s="44"/>
      <c r="G36" s="44"/>
      <c r="H36" s="44"/>
    </row>
    <row r="37" spans="1:8" ht="12.75">
      <c r="A37" t="s">
        <v>182</v>
      </c>
      <c r="D37" s="44">
        <v>28976.5</v>
      </c>
      <c r="E37" s="44"/>
      <c r="F37" s="44">
        <v>22443.5</v>
      </c>
      <c r="G37" s="44"/>
      <c r="H37" s="44">
        <v>17534.2</v>
      </c>
    </row>
    <row r="38" spans="4:8" ht="12.75">
      <c r="D38" s="44"/>
      <c r="E38" s="44"/>
      <c r="F38" s="44"/>
      <c r="G38" s="44"/>
      <c r="H38" s="44"/>
    </row>
    <row r="39" spans="1:8" ht="12.75">
      <c r="A39" t="s">
        <v>166</v>
      </c>
      <c r="D39" s="44">
        <f>+D37+D27-F27</f>
        <v>29534.3</v>
      </c>
      <c r="E39" s="44"/>
      <c r="F39" s="45" t="s">
        <v>160</v>
      </c>
      <c r="G39" s="44"/>
      <c r="H39" s="45" t="s">
        <v>160</v>
      </c>
    </row>
    <row r="40" spans="4:8" ht="12.75">
      <c r="D40" s="44"/>
      <c r="E40" s="44"/>
      <c r="F40" s="44"/>
      <c r="G40" s="44"/>
      <c r="H40" s="44"/>
    </row>
    <row r="41" spans="1:8" ht="12.75">
      <c r="A41" t="s">
        <v>322</v>
      </c>
      <c r="D41" s="44">
        <v>5108.4</v>
      </c>
      <c r="E41" s="44"/>
      <c r="F41" s="44">
        <v>4605.8</v>
      </c>
      <c r="G41" s="44"/>
      <c r="H41" s="45" t="s">
        <v>160</v>
      </c>
    </row>
    <row r="42" spans="4:8" ht="12.75">
      <c r="D42" s="44"/>
      <c r="E42" s="44"/>
      <c r="F42" s="44"/>
      <c r="G42" s="44"/>
      <c r="H42" s="44"/>
    </row>
    <row r="43" spans="1:8" ht="12.75">
      <c r="A43" t="s">
        <v>183</v>
      </c>
      <c r="D43" s="44">
        <f>+D15-D35</f>
        <v>27956.6</v>
      </c>
      <c r="E43" s="44"/>
      <c r="F43" s="44">
        <f>+F15-F35</f>
        <v>25322.5</v>
      </c>
      <c r="G43" s="44"/>
      <c r="H43" s="45" t="s">
        <v>160</v>
      </c>
    </row>
    <row r="44" spans="4:8" ht="12.75">
      <c r="D44" s="44"/>
      <c r="E44" s="44"/>
      <c r="F44" s="44"/>
      <c r="G44" s="44"/>
      <c r="H44" s="44"/>
    </row>
    <row r="45" spans="1:8" ht="12.75">
      <c r="A45" t="s">
        <v>184</v>
      </c>
      <c r="D45" s="44">
        <v>9079.9</v>
      </c>
      <c r="E45" s="44"/>
      <c r="F45" s="44">
        <v>7687.3</v>
      </c>
      <c r="G45" s="44"/>
      <c r="H45" s="44">
        <v>6130.7</v>
      </c>
    </row>
    <row r="48" spans="1:8" ht="12.75">
      <c r="A48" s="54" t="s">
        <v>210</v>
      </c>
      <c r="B48" s="54" t="s">
        <v>167</v>
      </c>
      <c r="C48" s="43"/>
      <c r="D48" s="54">
        <v>2001</v>
      </c>
      <c r="E48" s="43"/>
      <c r="F48" s="54">
        <v>2000</v>
      </c>
      <c r="G48" s="43"/>
      <c r="H48" s="54">
        <v>1999</v>
      </c>
    </row>
    <row r="49" spans="1:8" ht="12.75">
      <c r="A49" t="s">
        <v>168</v>
      </c>
      <c r="B49" t="s">
        <v>207</v>
      </c>
      <c r="D49" s="46">
        <f>+D17/D19</f>
        <v>1.1227802706120822</v>
      </c>
      <c r="E49" s="47"/>
      <c r="F49" s="46">
        <f>+F17/F19</f>
        <v>1.366060216393245</v>
      </c>
      <c r="H49" s="17" t="s">
        <v>160</v>
      </c>
    </row>
    <row r="50" spans="1:8" ht="12.75">
      <c r="A50" s="48"/>
      <c r="B50" s="48"/>
      <c r="D50" s="46"/>
      <c r="E50" s="47"/>
      <c r="F50" s="46"/>
      <c r="H50" s="46"/>
    </row>
    <row r="51" spans="1:8" ht="12.75">
      <c r="A51" t="s">
        <v>169</v>
      </c>
      <c r="B51" t="s">
        <v>192</v>
      </c>
      <c r="D51" s="49">
        <f>(+D21+D23+D25)/+D19</f>
        <v>0.7364737270664056</v>
      </c>
      <c r="E51" s="47"/>
      <c r="F51" s="49">
        <f>(+F21+F23+F25)/+F19</f>
        <v>0.9560884459669884</v>
      </c>
      <c r="H51" s="17" t="s">
        <v>160</v>
      </c>
    </row>
    <row r="52" spans="1:8" ht="12.75">
      <c r="A52" s="48"/>
      <c r="B52" s="48"/>
      <c r="D52" s="11"/>
      <c r="F52" s="11"/>
      <c r="H52" s="11"/>
    </row>
    <row r="53" spans="1:8" ht="12.75">
      <c r="A53" t="s">
        <v>170</v>
      </c>
      <c r="B53" t="s">
        <v>193</v>
      </c>
      <c r="D53" s="50">
        <f>+D13/((+D15+F15)/2)</f>
        <v>0.1730432881504154</v>
      </c>
      <c r="E53" s="50"/>
      <c r="F53" s="17" t="s">
        <v>160</v>
      </c>
      <c r="H53" s="17" t="s">
        <v>160</v>
      </c>
    </row>
    <row r="55" spans="1:8" ht="12.75">
      <c r="A55" t="s">
        <v>323</v>
      </c>
      <c r="B55" t="s">
        <v>172</v>
      </c>
      <c r="D55" s="47">
        <f>(+D13+D29+D31)/D33</f>
        <v>0.22775103372684463</v>
      </c>
      <c r="E55" s="47"/>
      <c r="F55" s="47">
        <f>(+F13+F29+F31)/F33</f>
        <v>0.25539352677686605</v>
      </c>
      <c r="H55" s="47">
        <f>(+H13+H29+H31)/H33</f>
        <v>0.2731674512441157</v>
      </c>
    </row>
    <row r="56" spans="4:6" ht="12.75">
      <c r="D56" s="47"/>
      <c r="E56" s="47"/>
      <c r="F56" s="47"/>
    </row>
    <row r="57" spans="1:8" ht="12.75">
      <c r="A57" t="s">
        <v>173</v>
      </c>
      <c r="B57" t="s">
        <v>194</v>
      </c>
      <c r="D57" s="2">
        <f>+D13/((D35+F35)/2)</f>
        <v>0.47158099247146446</v>
      </c>
      <c r="E57" s="2"/>
      <c r="F57" s="17" t="s">
        <v>160</v>
      </c>
      <c r="H57" s="17" t="s">
        <v>160</v>
      </c>
    </row>
    <row r="58" spans="4:6" ht="12.75">
      <c r="D58" s="47"/>
      <c r="E58" s="47"/>
      <c r="F58" s="47"/>
    </row>
    <row r="59" spans="1:8" ht="12.75">
      <c r="A59" t="s">
        <v>174</v>
      </c>
      <c r="B59" t="s">
        <v>195</v>
      </c>
      <c r="D59" s="47">
        <f>(+D33-D37)/+D33</f>
        <v>0.39272608386757396</v>
      </c>
      <c r="E59" s="47"/>
      <c r="F59" s="47">
        <f>(+F33-F37)/+F33</f>
        <v>0.44396133111348945</v>
      </c>
      <c r="H59" s="47">
        <f>(+H33-H37)/+H33</f>
        <v>0.46401540624808946</v>
      </c>
    </row>
    <row r="60" spans="4:6" ht="12.75">
      <c r="D60" s="47"/>
      <c r="E60" s="47"/>
      <c r="F60" s="47"/>
    </row>
    <row r="61" spans="1:8" ht="12.75">
      <c r="A61" t="s">
        <v>185</v>
      </c>
      <c r="B61" t="s">
        <v>196</v>
      </c>
      <c r="D61" s="47">
        <f>+D33/((+D15+F15)/2)</f>
        <v>1.133906674778046</v>
      </c>
      <c r="E61" s="47"/>
      <c r="F61" s="49" t="s">
        <v>160</v>
      </c>
      <c r="H61" s="49" t="s">
        <v>160</v>
      </c>
    </row>
    <row r="62" spans="4:8" ht="12.75">
      <c r="D62" s="47"/>
      <c r="E62" s="47"/>
      <c r="F62" s="47"/>
      <c r="H62" s="47"/>
    </row>
    <row r="63" spans="1:8" ht="12.75">
      <c r="A63" t="s">
        <v>186</v>
      </c>
      <c r="B63" t="s">
        <v>197</v>
      </c>
      <c r="D63" s="47">
        <f>+D37/+((D27+F27)/2)</f>
        <v>8.779693370500546</v>
      </c>
      <c r="E63" s="47"/>
      <c r="F63" s="49" t="s">
        <v>160</v>
      </c>
      <c r="H63" s="49" t="s">
        <v>160</v>
      </c>
    </row>
    <row r="64" spans="4:8" ht="12.75">
      <c r="D64" s="47"/>
      <c r="E64" s="47"/>
      <c r="F64" s="47"/>
      <c r="H64" s="47"/>
    </row>
    <row r="65" spans="1:8" ht="12.75">
      <c r="A65" t="s">
        <v>175</v>
      </c>
      <c r="B65" t="s">
        <v>198</v>
      </c>
      <c r="D65" s="47">
        <f>365/D63</f>
        <v>41.57320587372526</v>
      </c>
      <c r="E65" s="47"/>
      <c r="F65" s="49" t="s">
        <v>160</v>
      </c>
      <c r="H65" s="49" t="s">
        <v>160</v>
      </c>
    </row>
    <row r="66" spans="4:8" ht="12.75">
      <c r="D66" s="47"/>
      <c r="E66" s="47"/>
      <c r="F66" s="47"/>
      <c r="H66" s="47"/>
    </row>
    <row r="67" spans="1:8" ht="12.75">
      <c r="A67" t="s">
        <v>187</v>
      </c>
      <c r="B67" t="s">
        <v>199</v>
      </c>
      <c r="D67" s="47">
        <f>+D33/+((D25+F25)/2)</f>
        <v>9.107961594991314</v>
      </c>
      <c r="E67" s="47"/>
      <c r="F67" s="49" t="s">
        <v>160</v>
      </c>
      <c r="H67" s="49" t="s">
        <v>160</v>
      </c>
    </row>
    <row r="68" spans="4:8" ht="12.75">
      <c r="D68" s="47"/>
      <c r="E68" s="47"/>
      <c r="F68" s="47"/>
      <c r="H68" s="47"/>
    </row>
    <row r="69" spans="1:8" ht="12.75">
      <c r="A69" t="s">
        <v>188</v>
      </c>
      <c r="B69" t="s">
        <v>200</v>
      </c>
      <c r="D69" s="47">
        <f>365/+D67</f>
        <v>40.07482862034928</v>
      </c>
      <c r="E69" s="47"/>
      <c r="F69" s="49" t="s">
        <v>160</v>
      </c>
      <c r="H69" s="49" t="s">
        <v>160</v>
      </c>
    </row>
    <row r="70" spans="4:8" ht="12.75">
      <c r="D70" s="47"/>
      <c r="E70" s="47"/>
      <c r="F70" s="47"/>
      <c r="H70" s="47"/>
    </row>
    <row r="71" spans="1:8" ht="12.75">
      <c r="A71" t="s">
        <v>189</v>
      </c>
      <c r="B71" t="s">
        <v>201</v>
      </c>
      <c r="D71" s="47">
        <f>(+D37+D27-F27)/((D41+F41)/2)</f>
        <v>6.0806448292190804</v>
      </c>
      <c r="E71" s="47"/>
      <c r="F71" s="49" t="s">
        <v>160</v>
      </c>
      <c r="H71" s="49" t="s">
        <v>160</v>
      </c>
    </row>
    <row r="72" spans="4:8" ht="12.75">
      <c r="D72" s="47"/>
      <c r="E72" s="47"/>
      <c r="F72" s="47"/>
      <c r="H72" s="47"/>
    </row>
    <row r="73" spans="1:8" ht="12.75">
      <c r="A73" t="s">
        <v>190</v>
      </c>
      <c r="B73" t="s">
        <v>202</v>
      </c>
      <c r="D73" s="47">
        <f>365/D71</f>
        <v>60.02652847705889</v>
      </c>
      <c r="E73" s="47"/>
      <c r="F73" s="49" t="s">
        <v>160</v>
      </c>
      <c r="H73" s="49" t="s">
        <v>160</v>
      </c>
    </row>
    <row r="74" spans="4:8" ht="12.75">
      <c r="D74" s="47"/>
      <c r="E74" s="47"/>
      <c r="F74" s="47"/>
      <c r="H74" s="47"/>
    </row>
    <row r="75" spans="1:8" ht="12.75">
      <c r="A75" t="s">
        <v>208</v>
      </c>
      <c r="B75" t="s">
        <v>203</v>
      </c>
      <c r="D75" s="47">
        <f>+D45/((D19+F19)/2)</f>
        <v>0.844708651381737</v>
      </c>
      <c r="E75" s="47"/>
      <c r="F75" s="49" t="s">
        <v>160</v>
      </c>
      <c r="H75" s="49" t="s">
        <v>160</v>
      </c>
    </row>
    <row r="76" spans="4:6" ht="12.75">
      <c r="D76" s="47"/>
      <c r="E76" s="47"/>
      <c r="F76" s="47"/>
    </row>
    <row r="77" spans="1:8" ht="12.75">
      <c r="A77" t="s">
        <v>209</v>
      </c>
      <c r="B77" t="s">
        <v>204</v>
      </c>
      <c r="D77" s="47">
        <f>+D45/D43</f>
        <v>0.3247855604758805</v>
      </c>
      <c r="E77" s="47"/>
      <c r="F77" s="47">
        <f>+F45/F43</f>
        <v>0.3035758712607365</v>
      </c>
      <c r="H77" s="49" t="s">
        <v>160</v>
      </c>
    </row>
    <row r="79" ht="12.75">
      <c r="A79" t="s">
        <v>324</v>
      </c>
    </row>
    <row r="81" ht="12.75">
      <c r="A81" t="s">
        <v>191</v>
      </c>
    </row>
    <row r="83" spans="1:2" ht="12.75">
      <c r="A83" s="69"/>
      <c r="B83" s="70"/>
    </row>
  </sheetData>
  <printOptions/>
  <pageMargins left="0.75" right="0.75" top="1" bottom="1" header="0.5" footer="0.5"/>
  <pageSetup horizontalDpi="96" verticalDpi="96" orientation="portrait" scale="57" r:id="rId1"/>
  <headerFooter alignWithMargins="0">
    <oddFooter>&amp;LCopyright ©2007 Cardean Learning Group LLC. All rights reserved.&amp;C.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Copyright ©2007 Cardean Learning Group LLC. All rights reserved.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ICN and Merck Completed Financial Statements</dc:title>
  <dc:subject>EIMA 621: Accounting for Managers</dc:subject>
  <dc:creator/>
  <cp:keywords/>
  <dc:description/>
  <cp:lastModifiedBy>mrodgers</cp:lastModifiedBy>
  <cp:lastPrinted>2007-05-21T19:50:20Z</cp:lastPrinted>
  <dcterms:created xsi:type="dcterms:W3CDTF">2000-01-04T18:14:19Z</dcterms:created>
  <dcterms:modified xsi:type="dcterms:W3CDTF">2007-07-27T15:55:12Z</dcterms:modified>
  <cp:category/>
  <cp:version/>
  <cp:contentType/>
  <cp:contentStatus/>
</cp:coreProperties>
</file>