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915" windowWidth="10845" windowHeight="4950" activeTab="0"/>
  </bookViews>
  <sheets>
    <sheet name="Chapter" sheetId="1" r:id="rId1"/>
    <sheet name="17.1" sheetId="2" r:id="rId2"/>
    <sheet name="17.2" sheetId="3" r:id="rId3"/>
    <sheet name="17.4" sheetId="4" r:id="rId4"/>
  </sheets>
  <definedNames>
    <definedName name="_xlnm.Print_Area" localSheetId="0">'Chapter'!$A$1:$M$191</definedName>
  </definedNames>
  <calcPr fullCalcOnLoad="1" iterate="1" iterateCount="100" iterateDelta="0.001"/>
</workbook>
</file>

<file path=xl/comments1.xml><?xml version="1.0" encoding="utf-8"?>
<comments xmlns="http://schemas.openxmlformats.org/spreadsheetml/2006/main">
  <authors>
    <author>Gary Kreps</author>
  </authors>
  <commentList>
    <comment ref="F14" authorId="0">
      <text>
        <r>
          <rPr>
            <b/>
            <sz val="8"/>
            <color indexed="8"/>
            <rFont val="Tahoma"/>
            <family val="2"/>
          </rPr>
          <t>This implies that in the model there are no taxes, then the value of the firm does not change when the level of debt is changed.</t>
        </r>
        <r>
          <rPr>
            <sz val="10"/>
            <rFont val="Tahoma"/>
            <family val="0"/>
          </rPr>
          <t xml:space="preserve">
</t>
        </r>
      </text>
    </comment>
  </commentList>
</comments>
</file>

<file path=xl/sharedStrings.xml><?xml version="1.0" encoding="utf-8"?>
<sst xmlns="http://schemas.openxmlformats.org/spreadsheetml/2006/main" count="208" uniqueCount="162">
  <si>
    <t>Tax Rate</t>
  </si>
  <si>
    <t>Income</t>
  </si>
  <si>
    <t>EBIT</t>
  </si>
  <si>
    <t>Debt</t>
  </si>
  <si>
    <t>Equity</t>
  </si>
  <si>
    <t>Input Data</t>
  </si>
  <si>
    <t>WACC</t>
  </si>
  <si>
    <t>Modigliani and Miller without Taxes</t>
  </si>
  <si>
    <t>1.  The weighted average cost of capital is independent of the firm's capital structure.</t>
  </si>
  <si>
    <t>Proposition II.</t>
  </si>
  <si>
    <t>Proposition I.</t>
  </si>
  <si>
    <t>2.  The WACC of a firm with debt is equal to the unlevered cost of equity.</t>
  </si>
  <si>
    <t>Firm U</t>
  </si>
  <si>
    <t>Firm L</t>
  </si>
  <si>
    <t>No Debt</t>
  </si>
  <si>
    <t>Some Debt</t>
  </si>
  <si>
    <t>NA</t>
  </si>
  <si>
    <t>Value</t>
  </si>
  <si>
    <t>of Stock</t>
  </si>
  <si>
    <t>Total Market</t>
  </si>
  <si>
    <t>Value of Firm</t>
  </si>
  <si>
    <t>10% of L</t>
  </si>
  <si>
    <t>10% of U</t>
  </si>
  <si>
    <t>Cost</t>
  </si>
  <si>
    <t>of L's Debt</t>
  </si>
  <si>
    <t>Buy</t>
  </si>
  <si>
    <t>Invest $100,000</t>
  </si>
  <si>
    <t>in risk free</t>
  </si>
  <si>
    <t>asset</t>
  </si>
  <si>
    <t>Portfolio of U,</t>
  </si>
  <si>
    <t>Debt, and risk</t>
  </si>
  <si>
    <t>free asset</t>
  </si>
  <si>
    <t>Borrow amt.</t>
  </si>
  <si>
    <t>equal to 10%</t>
  </si>
  <si>
    <t>Modigliani and Miller with CorporateTaxes</t>
  </si>
  <si>
    <t>Value of Firm = Value of Stock + Value of Debt</t>
  </si>
  <si>
    <t>The MM results are different once corporate taxes are added in.</t>
  </si>
  <si>
    <t>Proposition I ( with corporate taxes)</t>
  </si>
  <si>
    <t>Proposition II (with corporate taxes)</t>
  </si>
  <si>
    <t>The cost of equity to a levered firm is the unlevered cost of equity plus a risk premium:</t>
  </si>
  <si>
    <t>Fredrickson</t>
  </si>
  <si>
    <t>Data for</t>
  </si>
  <si>
    <t>0 Taxes</t>
  </si>
  <si>
    <t>40% Tax Rate</t>
  </si>
  <si>
    <t>Value of Firm = Value of Unlevered Firm +T x Debt</t>
  </si>
  <si>
    <t>Total Value</t>
  </si>
  <si>
    <t xml:space="preserve">and the value of a levered firm is </t>
  </si>
  <si>
    <t>The term in brackets is the gain from leverage.</t>
  </si>
  <si>
    <t>Gain from</t>
  </si>
  <si>
    <t>Leverage</t>
  </si>
  <si>
    <t>D</t>
  </si>
  <si>
    <t>V</t>
  </si>
  <si>
    <t>S</t>
  </si>
  <si>
    <t>D/V</t>
  </si>
  <si>
    <t>MM without Taxes</t>
  </si>
  <si>
    <t>MM with Corporate Taxes</t>
  </si>
  <si>
    <r>
      <t>T</t>
    </r>
    <r>
      <rPr>
        <b/>
        <vertAlign val="subscript"/>
        <sz val="10"/>
        <rFont val="Times New Roman"/>
        <family val="1"/>
      </rPr>
      <t>c</t>
    </r>
    <r>
      <rPr>
        <b/>
        <sz val="10"/>
        <rFont val="Times New Roman"/>
        <family val="1"/>
      </rPr>
      <t xml:space="preserve"> = </t>
    </r>
  </si>
  <si>
    <t>Effects of Leverage:  MM Models</t>
  </si>
  <si>
    <r>
      <t>Value of levered  firm is the unlevered value plus the debt tax shield: V</t>
    </r>
    <r>
      <rPr>
        <b/>
        <vertAlign val="subscript"/>
        <sz val="10"/>
        <color indexed="18"/>
        <rFont val="Times New Roman"/>
        <family val="1"/>
      </rPr>
      <t>L</t>
    </r>
    <r>
      <rPr>
        <b/>
        <sz val="10"/>
        <color indexed="18"/>
        <rFont val="Times New Roman"/>
        <family val="1"/>
      </rPr>
      <t xml:space="preserve"> = V</t>
    </r>
    <r>
      <rPr>
        <b/>
        <vertAlign val="subscript"/>
        <sz val="10"/>
        <color indexed="18"/>
        <rFont val="Times New Roman"/>
        <family val="1"/>
      </rPr>
      <t>U</t>
    </r>
    <r>
      <rPr>
        <b/>
        <sz val="10"/>
        <color indexed="18"/>
        <rFont val="Times New Roman"/>
        <family val="1"/>
      </rPr>
      <t xml:space="preserve"> + TD</t>
    </r>
  </si>
  <si>
    <r>
      <t>T</t>
    </r>
    <r>
      <rPr>
        <b/>
        <vertAlign val="subscript"/>
        <sz val="10"/>
        <color indexed="8"/>
        <rFont val="Times New Roman"/>
        <family val="1"/>
      </rPr>
      <t>c</t>
    </r>
  </si>
  <si>
    <r>
      <t>T</t>
    </r>
    <r>
      <rPr>
        <b/>
        <vertAlign val="subscript"/>
        <sz val="10"/>
        <color indexed="8"/>
        <rFont val="Times New Roman"/>
        <family val="1"/>
      </rPr>
      <t>s</t>
    </r>
  </si>
  <si>
    <r>
      <t>T</t>
    </r>
    <r>
      <rPr>
        <b/>
        <vertAlign val="subscript"/>
        <sz val="10"/>
        <color indexed="8"/>
        <rFont val="Times New Roman"/>
        <family val="1"/>
      </rPr>
      <t>d</t>
    </r>
  </si>
  <si>
    <t>Example of an arbitrage opportunity in zero-growth firms:</t>
  </si>
  <si>
    <r>
      <t>The cost of equity, r</t>
    </r>
    <r>
      <rPr>
        <b/>
        <vertAlign val="subscript"/>
        <sz val="10"/>
        <color indexed="18"/>
        <rFont val="Times New Roman"/>
        <family val="1"/>
      </rPr>
      <t>sL</t>
    </r>
    <r>
      <rPr>
        <b/>
        <sz val="10"/>
        <color indexed="18"/>
        <rFont val="Times New Roman"/>
        <family val="1"/>
      </rPr>
      <t xml:space="preserve"> = r</t>
    </r>
    <r>
      <rPr>
        <b/>
        <vertAlign val="subscript"/>
        <sz val="10"/>
        <color indexed="18"/>
        <rFont val="Times New Roman"/>
        <family val="1"/>
      </rPr>
      <t>sU</t>
    </r>
    <r>
      <rPr>
        <b/>
        <sz val="10"/>
        <color indexed="18"/>
        <rFont val="Times New Roman"/>
        <family val="1"/>
      </rPr>
      <t xml:space="preserve"> + Risk premium = r</t>
    </r>
    <r>
      <rPr>
        <b/>
        <vertAlign val="subscript"/>
        <sz val="10"/>
        <color indexed="18"/>
        <rFont val="Times New Roman"/>
        <family val="1"/>
      </rPr>
      <t>sU</t>
    </r>
    <r>
      <rPr>
        <b/>
        <sz val="10"/>
        <color indexed="18"/>
        <rFont val="Times New Roman"/>
        <family val="1"/>
      </rPr>
      <t xml:space="preserve"> + (r</t>
    </r>
    <r>
      <rPr>
        <b/>
        <vertAlign val="subscript"/>
        <sz val="10"/>
        <color indexed="18"/>
        <rFont val="Times New Roman"/>
        <family val="1"/>
      </rPr>
      <t>sU</t>
    </r>
    <r>
      <rPr>
        <b/>
        <sz val="10"/>
        <color indexed="18"/>
        <rFont val="Times New Roman"/>
        <family val="1"/>
      </rPr>
      <t xml:space="preserve"> -r</t>
    </r>
    <r>
      <rPr>
        <b/>
        <vertAlign val="subscript"/>
        <sz val="10"/>
        <color indexed="18"/>
        <rFont val="Times New Roman"/>
        <family val="1"/>
      </rPr>
      <t>d</t>
    </r>
    <r>
      <rPr>
        <b/>
        <sz val="10"/>
        <color indexed="18"/>
        <rFont val="Times New Roman"/>
        <family val="1"/>
      </rPr>
      <t>)(D/S)</t>
    </r>
  </si>
  <si>
    <r>
      <t>Suppose that r</t>
    </r>
    <r>
      <rPr>
        <b/>
        <vertAlign val="subscript"/>
        <sz val="10"/>
        <color indexed="18"/>
        <rFont val="Times New Roman"/>
        <family val="1"/>
      </rPr>
      <t>sL</t>
    </r>
    <r>
      <rPr>
        <b/>
        <sz val="10"/>
        <color indexed="18"/>
        <rFont val="Times New Roman"/>
        <family val="1"/>
      </rPr>
      <t xml:space="preserve"> = r</t>
    </r>
    <r>
      <rPr>
        <b/>
        <vertAlign val="subscript"/>
        <sz val="10"/>
        <color indexed="18"/>
        <rFont val="Times New Roman"/>
        <family val="1"/>
      </rPr>
      <t>sU</t>
    </r>
    <r>
      <rPr>
        <b/>
        <sz val="10"/>
        <color indexed="18"/>
        <rFont val="Times New Roman"/>
        <family val="1"/>
      </rPr>
      <t xml:space="preserve"> = 10%.  We will show that this leads to an arbitrage opportunity.</t>
    </r>
  </si>
  <si>
    <t>rd</t>
  </si>
  <si>
    <t>rs</t>
  </si>
  <si>
    <r>
      <t>Value of Stock = (EBIT - r</t>
    </r>
    <r>
      <rPr>
        <b/>
        <vertAlign val="subscript"/>
        <sz val="10"/>
        <rFont val="Times New Roman"/>
        <family val="1"/>
      </rPr>
      <t>d</t>
    </r>
    <r>
      <rPr>
        <b/>
        <sz val="10"/>
        <rFont val="Times New Roman"/>
        <family val="1"/>
      </rPr>
      <t>D)/r</t>
    </r>
    <r>
      <rPr>
        <b/>
        <vertAlign val="subscript"/>
        <sz val="10"/>
        <rFont val="Times New Roman"/>
        <family val="1"/>
      </rPr>
      <t>S</t>
    </r>
  </si>
  <si>
    <r>
      <t>Value of Stock = (EBIT - r</t>
    </r>
    <r>
      <rPr>
        <b/>
        <vertAlign val="subscript"/>
        <sz val="10"/>
        <color indexed="8"/>
        <rFont val="Times New Roman"/>
        <family val="1"/>
      </rPr>
      <t>d</t>
    </r>
    <r>
      <rPr>
        <b/>
        <sz val="10"/>
        <color indexed="8"/>
        <rFont val="Times New Roman"/>
        <family val="1"/>
      </rPr>
      <t>D)(1 - T)/r</t>
    </r>
    <r>
      <rPr>
        <b/>
        <vertAlign val="subscript"/>
        <sz val="10"/>
        <color indexed="8"/>
        <rFont val="Times New Roman"/>
        <family val="1"/>
      </rPr>
      <t>S</t>
    </r>
  </si>
  <si>
    <r>
      <t>WACC = (D/V)r</t>
    </r>
    <r>
      <rPr>
        <b/>
        <vertAlign val="subscript"/>
        <sz val="10"/>
        <color indexed="8"/>
        <rFont val="Times New Roman"/>
        <family val="1"/>
      </rPr>
      <t>d</t>
    </r>
    <r>
      <rPr>
        <b/>
        <sz val="10"/>
        <color indexed="8"/>
        <rFont val="Times New Roman"/>
        <family val="1"/>
      </rPr>
      <t>(1-T) + (S/V)r</t>
    </r>
    <r>
      <rPr>
        <b/>
        <vertAlign val="subscript"/>
        <sz val="10"/>
        <color indexed="8"/>
        <rFont val="Times New Roman"/>
        <family val="1"/>
      </rPr>
      <t>s</t>
    </r>
  </si>
  <si>
    <t>rd x (1-T)</t>
  </si>
  <si>
    <r>
      <t>r</t>
    </r>
    <r>
      <rPr>
        <b/>
        <vertAlign val="subscript"/>
        <sz val="10"/>
        <rFont val="Times New Roman"/>
        <family val="1"/>
      </rPr>
      <t>d</t>
    </r>
  </si>
  <si>
    <r>
      <t>r</t>
    </r>
    <r>
      <rPr>
        <b/>
        <vertAlign val="subscript"/>
        <sz val="10"/>
        <rFont val="Times New Roman"/>
        <family val="1"/>
      </rPr>
      <t>s</t>
    </r>
  </si>
  <si>
    <r>
      <t>r</t>
    </r>
    <r>
      <rPr>
        <b/>
        <vertAlign val="subscript"/>
        <sz val="10"/>
        <color indexed="8"/>
        <rFont val="Times New Roman"/>
        <family val="1"/>
      </rPr>
      <t>sL</t>
    </r>
    <r>
      <rPr>
        <b/>
        <sz val="10"/>
        <color indexed="8"/>
        <rFont val="Times New Roman"/>
        <family val="1"/>
      </rPr>
      <t xml:space="preserve"> = r</t>
    </r>
    <r>
      <rPr>
        <b/>
        <vertAlign val="subscript"/>
        <sz val="10"/>
        <color indexed="8"/>
        <rFont val="Times New Roman"/>
        <family val="1"/>
      </rPr>
      <t>sU</t>
    </r>
    <r>
      <rPr>
        <b/>
        <sz val="10"/>
        <color indexed="8"/>
        <rFont val="Times New Roman"/>
        <family val="1"/>
      </rPr>
      <t xml:space="preserve"> + (r</t>
    </r>
    <r>
      <rPr>
        <b/>
        <vertAlign val="subscript"/>
        <sz val="10"/>
        <color indexed="8"/>
        <rFont val="Times New Roman"/>
        <family val="1"/>
      </rPr>
      <t>sU</t>
    </r>
    <r>
      <rPr>
        <b/>
        <sz val="10"/>
        <color indexed="8"/>
        <rFont val="Times New Roman"/>
        <family val="1"/>
      </rPr>
      <t xml:space="preserve"> - r</t>
    </r>
    <r>
      <rPr>
        <b/>
        <vertAlign val="subscript"/>
        <sz val="10"/>
        <color indexed="8"/>
        <rFont val="Times New Roman"/>
        <family val="1"/>
      </rPr>
      <t>d</t>
    </r>
    <r>
      <rPr>
        <b/>
        <sz val="10"/>
        <color indexed="8"/>
        <rFont val="Times New Roman"/>
        <family val="1"/>
      </rPr>
      <t>)(1-T)(D/S)</t>
    </r>
  </si>
  <si>
    <r>
      <t>r</t>
    </r>
    <r>
      <rPr>
        <b/>
        <vertAlign val="subscript"/>
        <sz val="10"/>
        <color indexed="18"/>
        <rFont val="Times New Roman"/>
        <family val="1"/>
      </rPr>
      <t>sL</t>
    </r>
    <r>
      <rPr>
        <b/>
        <sz val="10"/>
        <color indexed="18"/>
        <rFont val="Times New Roman"/>
        <family val="1"/>
      </rPr>
      <t xml:space="preserve"> = r</t>
    </r>
    <r>
      <rPr>
        <b/>
        <vertAlign val="subscript"/>
        <sz val="10"/>
        <color indexed="18"/>
        <rFont val="Times New Roman"/>
        <family val="1"/>
      </rPr>
      <t>sU</t>
    </r>
    <r>
      <rPr>
        <b/>
        <sz val="10"/>
        <color indexed="18"/>
        <rFont val="Times New Roman"/>
        <family val="1"/>
      </rPr>
      <t xml:space="preserve"> + (r</t>
    </r>
    <r>
      <rPr>
        <b/>
        <vertAlign val="subscript"/>
        <sz val="10"/>
        <color indexed="18"/>
        <rFont val="Times New Roman"/>
        <family val="1"/>
      </rPr>
      <t>sU</t>
    </r>
    <r>
      <rPr>
        <b/>
        <sz val="10"/>
        <color indexed="18"/>
        <rFont val="Times New Roman"/>
        <family val="1"/>
      </rPr>
      <t xml:space="preserve"> - r</t>
    </r>
    <r>
      <rPr>
        <b/>
        <vertAlign val="subscript"/>
        <sz val="10"/>
        <color indexed="18"/>
        <rFont val="Times New Roman"/>
        <family val="1"/>
      </rPr>
      <t>d</t>
    </r>
    <r>
      <rPr>
        <b/>
        <sz val="10"/>
        <color indexed="18"/>
        <rFont val="Times New Roman"/>
        <family val="1"/>
      </rPr>
      <t>)(1-T)(D/S)</t>
    </r>
  </si>
  <si>
    <t>Peterson</t>
  </si>
  <si>
    <t xml:space="preserve">growth </t>
  </si>
  <si>
    <r>
      <t>r</t>
    </r>
    <r>
      <rPr>
        <b/>
        <vertAlign val="subscript"/>
        <sz val="10"/>
        <rFont val="Times New Roman"/>
        <family val="1"/>
      </rPr>
      <t>sU</t>
    </r>
  </si>
  <si>
    <t>Unlev. Firm</t>
  </si>
  <si>
    <t>Value of</t>
  </si>
  <si>
    <t>Value of Unlevered firm = FCF/(WACC - g)</t>
  </si>
  <si>
    <t>exp. FCF</t>
  </si>
  <si>
    <r>
      <t>WACC = r</t>
    </r>
    <r>
      <rPr>
        <b/>
        <vertAlign val="subscript"/>
        <sz val="10"/>
        <color indexed="8"/>
        <rFont val="Times New Roman"/>
        <family val="1"/>
      </rPr>
      <t>sU</t>
    </r>
    <r>
      <rPr>
        <b/>
        <sz val="10"/>
        <color indexed="8"/>
        <rFont val="Times New Roman"/>
        <family val="1"/>
      </rPr>
      <t xml:space="preserve"> if the firm is unlevered</t>
    </r>
  </si>
  <si>
    <t xml:space="preserve">Value of </t>
  </si>
  <si>
    <t>Tax Shield</t>
  </si>
  <si>
    <r>
      <t>Value of Tax Shield = (r</t>
    </r>
    <r>
      <rPr>
        <b/>
        <vertAlign val="subscript"/>
        <sz val="10"/>
        <color indexed="8"/>
        <rFont val="Times New Roman"/>
        <family val="1"/>
      </rPr>
      <t>d</t>
    </r>
    <r>
      <rPr>
        <b/>
        <sz val="10"/>
        <color indexed="8"/>
        <rFont val="Times New Roman"/>
        <family val="1"/>
      </rPr>
      <t xml:space="preserve"> T D)/( r</t>
    </r>
    <r>
      <rPr>
        <b/>
        <vertAlign val="subscript"/>
        <sz val="10"/>
        <color indexed="8"/>
        <rFont val="Times New Roman"/>
        <family val="1"/>
      </rPr>
      <t>U</t>
    </r>
    <r>
      <rPr>
        <b/>
        <sz val="10"/>
        <color indexed="8"/>
        <rFont val="Times New Roman"/>
        <family val="1"/>
      </rPr>
      <t xml:space="preserve"> - g)</t>
    </r>
  </si>
  <si>
    <t>Of Firm</t>
  </si>
  <si>
    <t>Value of Firm = Value of Unlevered Firm + Value of Tax Shield</t>
  </si>
  <si>
    <r>
      <t>r</t>
    </r>
    <r>
      <rPr>
        <b/>
        <vertAlign val="subscript"/>
        <sz val="10"/>
        <rFont val="Times New Roman"/>
        <family val="1"/>
      </rPr>
      <t>sL</t>
    </r>
  </si>
  <si>
    <r>
      <t>r</t>
    </r>
    <r>
      <rPr>
        <b/>
        <vertAlign val="subscript"/>
        <sz val="10"/>
        <color indexed="8"/>
        <rFont val="Times New Roman"/>
        <family val="1"/>
      </rPr>
      <t>sL</t>
    </r>
    <r>
      <rPr>
        <b/>
        <sz val="10"/>
        <color indexed="8"/>
        <rFont val="Times New Roman"/>
        <family val="1"/>
      </rPr>
      <t xml:space="preserve"> = r</t>
    </r>
    <r>
      <rPr>
        <b/>
        <vertAlign val="subscript"/>
        <sz val="10"/>
        <color indexed="8"/>
        <rFont val="Times New Roman"/>
        <family val="1"/>
      </rPr>
      <t>sU</t>
    </r>
    <r>
      <rPr>
        <b/>
        <sz val="10"/>
        <color indexed="8"/>
        <rFont val="Times New Roman"/>
        <family val="1"/>
      </rPr>
      <t xml:space="preserve"> + (r</t>
    </r>
    <r>
      <rPr>
        <b/>
        <vertAlign val="subscript"/>
        <sz val="10"/>
        <color indexed="8"/>
        <rFont val="Times New Roman"/>
        <family val="1"/>
      </rPr>
      <t>sU</t>
    </r>
    <r>
      <rPr>
        <b/>
        <sz val="10"/>
        <color indexed="8"/>
        <rFont val="Times New Roman"/>
        <family val="1"/>
      </rPr>
      <t xml:space="preserve"> - r</t>
    </r>
    <r>
      <rPr>
        <b/>
        <vertAlign val="subscript"/>
        <sz val="10"/>
        <color indexed="8"/>
        <rFont val="Times New Roman"/>
        <family val="1"/>
      </rPr>
      <t>d</t>
    </r>
    <r>
      <rPr>
        <b/>
        <sz val="10"/>
        <color indexed="8"/>
        <rFont val="Times New Roman"/>
        <family val="1"/>
      </rPr>
      <t>)(D/S)</t>
    </r>
  </si>
  <si>
    <t>Value of Equity = Total Value of Firm - Value of Debt</t>
  </si>
  <si>
    <t>some Debt</t>
  </si>
  <si>
    <t>and growth</t>
  </si>
  <si>
    <t>Current value of firm (debt + equity)</t>
  </si>
  <si>
    <t>Kunkel's situation</t>
  </si>
  <si>
    <t>Face value of zero coupon debt</t>
  </si>
  <si>
    <t>Time to maturity (years)</t>
  </si>
  <si>
    <t>Total Value of Firm</t>
  </si>
  <si>
    <t>Face Value of Debt</t>
  </si>
  <si>
    <t>Risk Free rate</t>
  </si>
  <si>
    <t>Standard Dev.</t>
  </si>
  <si>
    <t>Call Price = Equity Value</t>
  </si>
  <si>
    <t>Black-Scholes Option Pricing Model</t>
  </si>
  <si>
    <t>Analogous to the stock price from the BSOPM</t>
  </si>
  <si>
    <t>Analogous to the exercise price</t>
  </si>
  <si>
    <t>Maturity of debt (years)</t>
  </si>
  <si>
    <t>Analogous to time to expiration of option</t>
  </si>
  <si>
    <t>This is the standard dev. of the total value of the firm, not just the stock.</t>
  </si>
  <si>
    <r>
      <t>d</t>
    </r>
    <r>
      <rPr>
        <b/>
        <vertAlign val="subscript"/>
        <sz val="10"/>
        <rFont val="Times New Roman"/>
        <family val="1"/>
      </rPr>
      <t>1</t>
    </r>
  </si>
  <si>
    <r>
      <t>d</t>
    </r>
    <r>
      <rPr>
        <b/>
        <vertAlign val="subscript"/>
        <sz val="10"/>
        <rFont val="Times New Roman"/>
        <family val="1"/>
      </rPr>
      <t>2</t>
    </r>
  </si>
  <si>
    <r>
      <t>N(d</t>
    </r>
    <r>
      <rPr>
        <b/>
        <vertAlign val="subscript"/>
        <sz val="10"/>
        <rFont val="Times New Roman"/>
        <family val="1"/>
      </rPr>
      <t>1</t>
    </r>
    <r>
      <rPr>
        <b/>
        <sz val="10"/>
        <rFont val="Times New Roman"/>
        <family val="1"/>
      </rPr>
      <t>)</t>
    </r>
  </si>
  <si>
    <r>
      <t>N(d</t>
    </r>
    <r>
      <rPr>
        <b/>
        <vertAlign val="subscript"/>
        <sz val="10"/>
        <rFont val="Times New Roman"/>
        <family val="1"/>
      </rPr>
      <t>2</t>
    </r>
    <r>
      <rPr>
        <b/>
        <sz val="10"/>
        <rFont val="Times New Roman"/>
        <family val="1"/>
      </rPr>
      <t>)</t>
    </r>
  </si>
  <si>
    <t>How much did Kunkel receive for issuing face value $10 million in zero coupon debt?</t>
  </si>
  <si>
    <t>If the total value of the firm is $20 million, and the equity is worth</t>
  </si>
  <si>
    <t>million then the value of the debt should be what is left over:</t>
  </si>
  <si>
    <r>
      <t>PV(1+i)</t>
    </r>
    <r>
      <rPr>
        <b/>
        <vertAlign val="superscript"/>
        <sz val="10"/>
        <color indexed="18"/>
        <rFont val="Times New Roman"/>
        <family val="1"/>
      </rPr>
      <t>n</t>
    </r>
    <r>
      <rPr>
        <b/>
        <sz val="10"/>
        <color indexed="18"/>
        <rFont val="Times New Roman"/>
        <family val="1"/>
      </rPr>
      <t xml:space="preserve"> = FV so that (FV/PV)</t>
    </r>
    <r>
      <rPr>
        <b/>
        <vertAlign val="superscript"/>
        <sz val="10"/>
        <color indexed="18"/>
        <rFont val="Times New Roman"/>
        <family val="1"/>
      </rPr>
      <t>1/n</t>
    </r>
    <r>
      <rPr>
        <b/>
        <sz val="10"/>
        <color indexed="18"/>
        <rFont val="Times New Roman"/>
        <family val="1"/>
      </rPr>
      <t>-1 = i.</t>
    </r>
  </si>
  <si>
    <t>Proceeds from Debt</t>
  </si>
  <si>
    <t>Yield on Debt</t>
  </si>
  <si>
    <t>of Total Value</t>
  </si>
  <si>
    <t>Equity Value</t>
  </si>
  <si>
    <t>Debt Value</t>
  </si>
  <si>
    <t>This is also equal to the value of the debt</t>
  </si>
  <si>
    <t>Yield on debt</t>
  </si>
  <si>
    <t>Franco Modigliani and Merton Miller developed a model to examine the impact of debt on firm value.  In this first version it is assumed that taxes are zero.</t>
  </si>
  <si>
    <t>Compare an investment in L with a "synthetic" investment that duplicates L's leverage using an investment in U and borrowing on the investor's own account.</t>
  </si>
  <si>
    <r>
      <t>If the cost of equity for L, r</t>
    </r>
    <r>
      <rPr>
        <b/>
        <vertAlign val="subscript"/>
        <sz val="10"/>
        <color indexed="18"/>
        <rFont val="Times New Roman"/>
        <family val="1"/>
      </rPr>
      <t>sL</t>
    </r>
    <r>
      <rPr>
        <b/>
        <sz val="10"/>
        <color indexed="18"/>
        <rFont val="Times New Roman"/>
        <family val="1"/>
      </rPr>
      <t xml:space="preserve"> = r</t>
    </r>
    <r>
      <rPr>
        <b/>
        <vertAlign val="subscript"/>
        <sz val="10"/>
        <color indexed="18"/>
        <rFont val="Times New Roman"/>
        <family val="1"/>
      </rPr>
      <t>sU</t>
    </r>
    <r>
      <rPr>
        <b/>
        <sz val="10"/>
        <color indexed="18"/>
        <rFont val="Times New Roman"/>
        <family val="1"/>
      </rPr>
      <t xml:space="preserve"> + Risk premium = r</t>
    </r>
    <r>
      <rPr>
        <b/>
        <vertAlign val="subscript"/>
        <sz val="10"/>
        <color indexed="18"/>
        <rFont val="Times New Roman"/>
        <family val="1"/>
      </rPr>
      <t>sU</t>
    </r>
    <r>
      <rPr>
        <b/>
        <sz val="10"/>
        <color indexed="18"/>
        <rFont val="Times New Roman"/>
        <family val="1"/>
      </rPr>
      <t xml:space="preserve"> + (r</t>
    </r>
    <r>
      <rPr>
        <b/>
        <vertAlign val="subscript"/>
        <sz val="10"/>
        <color indexed="18"/>
        <rFont val="Times New Roman"/>
        <family val="1"/>
      </rPr>
      <t>sU</t>
    </r>
    <r>
      <rPr>
        <b/>
        <sz val="10"/>
        <color indexed="18"/>
        <rFont val="Times New Roman"/>
        <family val="1"/>
      </rPr>
      <t xml:space="preserve"> -r</t>
    </r>
    <r>
      <rPr>
        <b/>
        <vertAlign val="subscript"/>
        <sz val="10"/>
        <color indexed="18"/>
        <rFont val="Times New Roman"/>
        <family val="1"/>
      </rPr>
      <t>d</t>
    </r>
    <r>
      <rPr>
        <b/>
        <sz val="10"/>
        <color indexed="18"/>
        <rFont val="Times New Roman"/>
        <family val="1"/>
      </rPr>
      <t>)(D/S), then the cost of the portfolio of U and borrowing is equal to the cost of L, and the income of the portfolio of U and borrowing equals the income from L and no arbitrage opportunity exists.</t>
    </r>
  </si>
  <si>
    <r>
      <t>Miller extended the original MM model to include personal taxes.  If T</t>
    </r>
    <r>
      <rPr>
        <b/>
        <vertAlign val="subscript"/>
        <sz val="10"/>
        <color indexed="18"/>
        <rFont val="Times New Roman"/>
        <family val="1"/>
      </rPr>
      <t>s</t>
    </r>
    <r>
      <rPr>
        <b/>
        <sz val="10"/>
        <color indexed="18"/>
        <rFont val="Times New Roman"/>
        <family val="1"/>
      </rPr>
      <t xml:space="preserve"> is the personal tax rate, Tc is the corporate tax rate, and Td is the tax rate on interest income, then the new expression for VU is:</t>
    </r>
  </si>
  <si>
    <t>If the corporate tax rate is 34%, the capital gains rate is 15%, and the ordinary income tax rate is 28%, then the added value to the firm from using $D in debt is 0.22D.  I.e. the total firm value increases by about 22% of the amount of debt used.</t>
  </si>
  <si>
    <t>If we relax the MM assumption that debt is risk free, then we allow for management to make the decision of whether or not to default on the debt.  This is like an option: If management decides NOT to default on the debt, i.e. if management decides to make a required interest or principal payment, then the stockholders get to keep the firm. If management defaults on the the interest or principal payment, then the stockholders lose the firm.</t>
  </si>
  <si>
    <t>If management can change the riskiness of its projects--i.e. change the volatility of the total company, then it can change the relative values of the debt, equity, and the yield on the debt.</t>
  </si>
  <si>
    <t>The values of equity, debt, and yield on debt for various evels of volatility for the entire firm.</t>
  </si>
  <si>
    <t>Note that you can create a data table that has more than one formula that depends on the column input.  First enter formulas in cells B275 to D275 for values that depend 'on the column input (in this case, standard deviation). Then just highlight cells 'A275 to D287 and select Data/Table and put in a cell reference to standard deviation (cell C251) in the column input box.</t>
  </si>
  <si>
    <t>million.  And the yield is calculated as in chapter 2 for a lump sum payment:</t>
  </si>
  <si>
    <r>
      <t>Daves and Ehrhardt extended the MM model to include growth.  If the firm is growing, then debt will be growing as well, and the value of this (growing) debt tax shield will be larger than MM assumed.  Also, since it is not certain that the company will be able to realize the debt tax shield, it is more risky than the risk free rate.  It is also more risky than debt, but no more risky than the unlevered firm.  Daves and Ehrhardt show that the discount rate on the tax shield, r</t>
    </r>
    <r>
      <rPr>
        <b/>
        <vertAlign val="subscript"/>
        <sz val="10"/>
        <color indexed="18"/>
        <rFont val="Times New Roman"/>
        <family val="1"/>
      </rPr>
      <t>TS</t>
    </r>
    <r>
      <rPr>
        <b/>
        <sz val="10"/>
        <color indexed="18"/>
        <rFont val="Times New Roman"/>
        <family val="1"/>
      </rPr>
      <t>, should be equal to the unlevered return to equity, r</t>
    </r>
    <r>
      <rPr>
        <b/>
        <vertAlign val="subscript"/>
        <sz val="10"/>
        <color indexed="18"/>
        <rFont val="Times New Roman"/>
        <family val="1"/>
      </rPr>
      <t>sU</t>
    </r>
    <r>
      <rPr>
        <b/>
        <sz val="10"/>
        <color indexed="18"/>
        <rFont val="Times New Roman"/>
        <family val="1"/>
      </rPr>
      <t>.</t>
    </r>
  </si>
  <si>
    <t>Chapter 17.   Tool Kit for Capital Structure Decisions:  Extensions</t>
  </si>
  <si>
    <t>To reproduce Table 17-2, change the total value in cell C247 to $10.</t>
  </si>
  <si>
    <t>SOLUTIONS TO SELF-TEST</t>
  </si>
  <si>
    <t>SECTION 17.2</t>
  </si>
  <si>
    <t xml:space="preserve">6   An unlevered firm has a value of $100 million. An otherwise identical but levered firm has $30 million in debt. Under the MM zero-tax model, what is the value of the levered firm? Under the MM corporate tax model, what is the value of a levered firm if the corporate tax rate is 40%? </t>
  </si>
  <si>
    <r>
      <t>V</t>
    </r>
    <r>
      <rPr>
        <b/>
        <vertAlign val="subscript"/>
        <sz val="10"/>
        <rFont val="Arial"/>
        <family val="2"/>
      </rPr>
      <t>U</t>
    </r>
    <r>
      <rPr>
        <b/>
        <sz val="10"/>
        <rFont val="Arial"/>
        <family val="2"/>
      </rPr>
      <t xml:space="preserve"> =</t>
    </r>
  </si>
  <si>
    <t>Zero-Tax Model</t>
  </si>
  <si>
    <r>
      <t>V</t>
    </r>
    <r>
      <rPr>
        <b/>
        <vertAlign val="subscript"/>
        <sz val="10"/>
        <rFont val="Arial"/>
        <family val="2"/>
      </rPr>
      <t>L</t>
    </r>
    <r>
      <rPr>
        <b/>
        <sz val="10"/>
        <rFont val="Arial"/>
        <family val="2"/>
      </rPr>
      <t xml:space="preserve"> =</t>
    </r>
  </si>
  <si>
    <t>Corporate-Tax Model</t>
  </si>
  <si>
    <t>Debt =</t>
  </si>
  <si>
    <t>5   An unlevered firm has a value of $100 million. An otherwise identical but levered firm has $30 million in debt. Under the Miller model, what is the value of a levered firm if the corporate tax rate is 40%, the personal tax rate on equity is 15%, and the personal tax rate on debt is 35%?</t>
  </si>
  <si>
    <t>Miller's Model</t>
  </si>
  <si>
    <t>Corporate tax rate =</t>
  </si>
  <si>
    <t>Personal tax rate on equity =</t>
  </si>
  <si>
    <t>Personal tax rate on debt =</t>
  </si>
  <si>
    <t>CAPITAL STRUCTURE THEORY: ARBITRAGE PROOFS OF THE MODIGLIANI-MILLER MODELS  (Section 17.1)</t>
  </si>
  <si>
    <t>INTRODUCING PERSONAL TAXES: THE MILLER MODEL  (Section 17.2)</t>
  </si>
  <si>
    <t>SECTION 17.1</t>
  </si>
  <si>
    <t>SECTION 17.4</t>
  </si>
  <si>
    <t xml:space="preserve">g = </t>
  </si>
  <si>
    <r>
      <t>r</t>
    </r>
    <r>
      <rPr>
        <b/>
        <vertAlign val="subscript"/>
        <sz val="10"/>
        <rFont val="Arial"/>
        <family val="2"/>
      </rPr>
      <t>sU</t>
    </r>
    <r>
      <rPr>
        <b/>
        <sz val="10"/>
        <rFont val="Arial"/>
        <family val="2"/>
      </rPr>
      <t xml:space="preserve"> = </t>
    </r>
  </si>
  <si>
    <r>
      <t>r</t>
    </r>
    <r>
      <rPr>
        <b/>
        <vertAlign val="subscript"/>
        <sz val="10"/>
        <rFont val="Arial"/>
        <family val="2"/>
      </rPr>
      <t>d</t>
    </r>
    <r>
      <rPr>
        <b/>
        <sz val="10"/>
        <rFont val="Arial"/>
        <family val="2"/>
      </rPr>
      <t xml:space="preserve"> = </t>
    </r>
  </si>
  <si>
    <t>S =</t>
  </si>
  <si>
    <r>
      <t>r</t>
    </r>
    <r>
      <rPr>
        <b/>
        <vertAlign val="subscript"/>
        <sz val="10"/>
        <rFont val="Arial"/>
        <family val="2"/>
      </rPr>
      <t>sL</t>
    </r>
    <r>
      <rPr>
        <b/>
        <sz val="10"/>
        <rFont val="Arial"/>
        <family val="2"/>
      </rPr>
      <t xml:space="preserve"> = </t>
    </r>
  </si>
  <si>
    <r>
      <t>4   An unlevered firm has a value of $100 million. An otherwise identical but levered firm has $30 million in debt. Suppose that the firm is growing at a constant rate of 5%, the corporate tax rate is 40%, the cost of debt is 6%, and the unlevered cost of equity is 8% (assume r</t>
    </r>
    <r>
      <rPr>
        <b/>
        <vertAlign val="subscript"/>
        <sz val="10"/>
        <rFont val="Arial"/>
        <family val="2"/>
      </rPr>
      <t>sU</t>
    </r>
    <r>
      <rPr>
        <b/>
        <sz val="10"/>
        <rFont val="Arial"/>
        <family val="2"/>
      </rPr>
      <t xml:space="preserve"> is the appropriate discount rate for the tax shield). What is the value of the levered firm? What is the value of the stock? What is the levered cost of equity?</t>
    </r>
  </si>
  <si>
    <t>RISKY DEBT AND EQUITY AS AN OPTION  (Section 17.5)</t>
  </si>
  <si>
    <t>AN EXTENSION TO THE MM MODEL: NON-ZERO GROWTH AND A RISKY TAX SHIELD  (Section 17.4)</t>
  </si>
  <si>
    <t>When the debt comes due, Kunkel will repay the $10,000,000 only if the value of the firm exceeds $10,000,000 at the time the debt comes due.  This is like exercising an option on the value of the firm with an exercise price equal to $10,000,000. Today, owning the equity in Kunkel is like owning a call option on the value of the firm that has five years to expiration and a strike price of $10 million.  This can be valued using the Black-Scholes Option Pricing Model (BSOPM).  See Chapter 9 for more details on the BSOPM.</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</si>
</sst>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
    <numFmt numFmtId="166" formatCode="&quot;$&quot;#,##0.0_);\(&quot;$&quot;#,##0.0\)"/>
    <numFmt numFmtId="167" formatCode="#,##0.0"/>
    <numFmt numFmtId="168" formatCode="0.0000"/>
    <numFmt numFmtId="169" formatCode="0.000000000000000%"/>
    <numFmt numFmtId="170" formatCode="&quot;$&quot;#,##0"/>
    <numFmt numFmtId="171" formatCode="0.00000"/>
    <numFmt numFmtId="172" formatCode="0.000"/>
    <numFmt numFmtId="173" formatCode="0.0"/>
    <numFmt numFmtId="174" formatCode="0.0000000"/>
    <numFmt numFmtId="175" formatCode="0.000000"/>
    <numFmt numFmtId="176" formatCode="&quot;$&quot;#,##0.00"/>
    <numFmt numFmtId="177" formatCode="&quot;$&quot;#,##0.0"/>
    <numFmt numFmtId="178" formatCode="0.000000000000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_);\(#,##0.0\)"/>
    <numFmt numFmtId="191" formatCode="_(* #,##0.0_);_(* \(#,##0.0\);_(* &quot;-&quot;??_);_(@_)"/>
    <numFmt numFmtId="192" formatCode="_(* #,##0_);_(* \(#,##0\);_(* &quot;-&quot;??_);_(@_)"/>
    <numFmt numFmtId="193" formatCode="_(&quot;$&quot;* #,##0.0_);_(&quot;$&quot;* \(#,##0.0\);_(&quot;$&quot;* &quot;-&quot;??_);_(@_)"/>
    <numFmt numFmtId="194" formatCode="_(&quot;$&quot;* #,##0_);_(&quot;$&quot;* \(#,##0\);_(&quot;$&quot;* &quot;-&quot;??_);_(@_)"/>
    <numFmt numFmtId="195" formatCode="&quot;$&quot;#,##0.000"/>
    <numFmt numFmtId="196" formatCode="_(* #,##0.0_);_(* \(#,##0.0\);_(* &quot;-&quot;?_);_(@_)"/>
    <numFmt numFmtId="197" formatCode="0.00000000"/>
    <numFmt numFmtId="198" formatCode="_(&quot;$&quot;* #,##0.0_);_(&quot;$&quot;* \(#,##0.0\);_(&quot;$&quot;* &quot;-&quot;_);_(@_)"/>
    <numFmt numFmtId="199" formatCode="_(&quot;$&quot;* #,##0.00_);_(&quot;$&quot;* \(#,##0.00\);_(&quot;$&quot;* &quot;-&quot;_);_(@_)"/>
  </numFmts>
  <fonts count="69">
    <font>
      <sz val="10"/>
      <name val="Times New Roman"/>
      <family val="0"/>
    </font>
    <font>
      <b/>
      <sz val="10"/>
      <color indexed="12"/>
      <name val="Times New Roman"/>
      <family val="1"/>
    </font>
    <font>
      <b/>
      <sz val="10"/>
      <name val="Times New Roman"/>
      <family val="1"/>
    </font>
    <font>
      <b/>
      <sz val="10"/>
      <color indexed="20"/>
      <name val="Times New Roman"/>
      <family val="1"/>
    </font>
    <font>
      <b/>
      <sz val="10"/>
      <color indexed="17"/>
      <name val="Times New Roman"/>
      <family val="1"/>
    </font>
    <font>
      <b/>
      <vertAlign val="subscript"/>
      <sz val="10"/>
      <name val="Times New Roman"/>
      <family val="1"/>
    </font>
    <font>
      <b/>
      <sz val="10"/>
      <color indexed="18"/>
      <name val="Times New Roman"/>
      <family val="1"/>
    </font>
    <font>
      <b/>
      <sz val="8"/>
      <name val="Times New Roman"/>
      <family val="1"/>
    </font>
    <font>
      <b/>
      <sz val="12"/>
      <color indexed="16"/>
      <name val="Times New Roman"/>
      <family val="1"/>
    </font>
    <font>
      <u val="single"/>
      <sz val="10"/>
      <color indexed="12"/>
      <name val="Times New Roman"/>
      <family val="0"/>
    </font>
    <font>
      <b/>
      <vertAlign val="subscript"/>
      <sz val="10"/>
      <color indexed="18"/>
      <name val="Times New Roman"/>
      <family val="1"/>
    </font>
    <font>
      <b/>
      <sz val="11"/>
      <color indexed="16"/>
      <name val="Times New Roman"/>
      <family val="1"/>
    </font>
    <font>
      <u val="single"/>
      <sz val="7.5"/>
      <color indexed="36"/>
      <name val="Times New Roman"/>
      <family val="0"/>
    </font>
    <font>
      <b/>
      <sz val="10"/>
      <color indexed="8"/>
      <name val="Times New Roman"/>
      <family val="1"/>
    </font>
    <font>
      <b/>
      <vertAlign val="subscript"/>
      <sz val="10"/>
      <color indexed="12"/>
      <name val="Times New Roman"/>
      <family val="1"/>
    </font>
    <font>
      <sz val="10"/>
      <name val="Tahoma"/>
      <family val="0"/>
    </font>
    <font>
      <b/>
      <sz val="8"/>
      <color indexed="8"/>
      <name val="Tahoma"/>
      <family val="2"/>
    </font>
    <font>
      <b/>
      <vertAlign val="subscript"/>
      <sz val="10"/>
      <color indexed="8"/>
      <name val="Times New Roman"/>
      <family val="1"/>
    </font>
    <font>
      <b/>
      <sz val="10"/>
      <color indexed="10"/>
      <name val="Times New Roman"/>
      <family val="1"/>
    </font>
    <font>
      <b/>
      <vertAlign val="superscript"/>
      <sz val="10"/>
      <color indexed="18"/>
      <name val="Times New Roman"/>
      <family val="1"/>
    </font>
    <font>
      <b/>
      <sz val="11"/>
      <color indexed="16"/>
      <name val="Arial"/>
      <family val="2"/>
    </font>
    <font>
      <sz val="8"/>
      <name val="Times New Roman"/>
      <family val="0"/>
    </font>
    <font>
      <b/>
      <sz val="13"/>
      <color indexed="16"/>
      <name val="Arial"/>
      <family val="2"/>
    </font>
    <font>
      <b/>
      <i/>
      <sz val="10"/>
      <color indexed="16"/>
      <name val="Arial"/>
      <family val="2"/>
    </font>
    <font>
      <b/>
      <sz val="10"/>
      <name val="Arial"/>
      <family val="2"/>
    </font>
    <font>
      <b/>
      <sz val="10"/>
      <color indexed="12"/>
      <name val="Arial"/>
      <family val="2"/>
    </font>
    <font>
      <b/>
      <vertAlign val="sub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2"/>
      <color indexed="8"/>
      <name val="Arial"/>
      <family val="0"/>
    </font>
    <font>
      <b/>
      <sz val="12"/>
      <color indexed="8"/>
      <name val="Arial"/>
      <family val="0"/>
    </font>
    <font>
      <sz val="9.2"/>
      <color indexed="8"/>
      <name val="Arial"/>
      <family val="0"/>
    </font>
    <font>
      <sz val="10.75"/>
      <color indexed="8"/>
      <name val="Arial"/>
      <family val="0"/>
    </font>
    <font>
      <sz val="9.5"/>
      <color indexed="8"/>
      <name val="Arial"/>
      <family val="0"/>
    </font>
    <font>
      <b/>
      <sz val="9.5"/>
      <color indexed="8"/>
      <name val="Arial"/>
      <family val="0"/>
    </font>
    <font>
      <b/>
      <sz val="1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0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14" fontId="2" fillId="0" borderId="0" xfId="0" applyNumberFormat="1" applyFont="1" applyAlignment="1">
      <alignment/>
    </xf>
    <xf numFmtId="22" fontId="7" fillId="0" borderId="0" xfId="0" applyNumberFormat="1" applyFont="1" applyAlignment="1">
      <alignment/>
    </xf>
    <xf numFmtId="0" fontId="9" fillId="0" borderId="0" xfId="53" applyAlignment="1" applyProtection="1">
      <alignment/>
      <protection/>
    </xf>
    <xf numFmtId="0" fontId="11" fillId="0" borderId="0" xfId="0" applyFont="1" applyAlignment="1">
      <alignment/>
    </xf>
    <xf numFmtId="0" fontId="2" fillId="0" borderId="0" xfId="0" applyFont="1" applyFill="1" applyBorder="1" applyAlignment="1">
      <alignment/>
    </xf>
    <xf numFmtId="22" fontId="7" fillId="0" borderId="0" xfId="0" applyNumberFormat="1" applyFont="1" applyAlignment="1">
      <alignment horizontal="center"/>
    </xf>
    <xf numFmtId="6" fontId="2" fillId="33" borderId="10" xfId="0" applyNumberFormat="1" applyFont="1" applyFill="1" applyBorder="1" applyAlignment="1">
      <alignment/>
    </xf>
    <xf numFmtId="6" fontId="2" fillId="33" borderId="11" xfId="0" applyNumberFormat="1"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1" fillId="34" borderId="12" xfId="0" applyFont="1" applyFill="1" applyBorder="1" applyAlignment="1">
      <alignment/>
    </xf>
    <xf numFmtId="0" fontId="2" fillId="34" borderId="14" xfId="0" applyFont="1" applyFill="1" applyBorder="1" applyAlignment="1">
      <alignment/>
    </xf>
    <xf numFmtId="0" fontId="2" fillId="33" borderId="12" xfId="0" applyFont="1" applyFill="1" applyBorder="1" applyAlignment="1">
      <alignment/>
    </xf>
    <xf numFmtId="0" fontId="2" fillId="33" borderId="15" xfId="0" applyFont="1" applyFill="1" applyBorder="1" applyAlignment="1">
      <alignment/>
    </xf>
    <xf numFmtId="6" fontId="1" fillId="33" borderId="15" xfId="0" applyNumberFormat="1" applyFont="1" applyFill="1" applyBorder="1" applyAlignment="1">
      <alignment/>
    </xf>
    <xf numFmtId="0" fontId="2" fillId="35" borderId="13" xfId="0" applyFont="1" applyFill="1" applyBorder="1" applyAlignment="1">
      <alignment/>
    </xf>
    <xf numFmtId="6" fontId="1" fillId="35" borderId="13" xfId="0" applyNumberFormat="1" applyFont="1" applyFill="1" applyBorder="1" applyAlignment="1">
      <alignment/>
    </xf>
    <xf numFmtId="0" fontId="2" fillId="35" borderId="15" xfId="0" applyFont="1" applyFill="1" applyBorder="1" applyAlignment="1">
      <alignment/>
    </xf>
    <xf numFmtId="6" fontId="1" fillId="35" borderId="15" xfId="0" applyNumberFormat="1" applyFont="1" applyFill="1" applyBorder="1" applyAlignment="1">
      <alignment horizontal="right"/>
    </xf>
    <xf numFmtId="6" fontId="1" fillId="35" borderId="15" xfId="0" applyNumberFormat="1" applyFont="1" applyFill="1" applyBorder="1" applyAlignment="1">
      <alignment/>
    </xf>
    <xf numFmtId="0" fontId="2" fillId="36" borderId="12" xfId="0" applyFont="1" applyFill="1" applyBorder="1" applyAlignment="1">
      <alignment horizontal="center"/>
    </xf>
    <xf numFmtId="0" fontId="2" fillId="36" borderId="13" xfId="0" applyFont="1" applyFill="1" applyBorder="1" applyAlignment="1">
      <alignment horizontal="center"/>
    </xf>
    <xf numFmtId="6" fontId="1" fillId="36" borderId="12" xfId="0" applyNumberFormat="1" applyFont="1" applyFill="1" applyBorder="1" applyAlignment="1">
      <alignment/>
    </xf>
    <xf numFmtId="6" fontId="1" fillId="36" borderId="13" xfId="0" applyNumberFormat="1" applyFont="1" applyFill="1" applyBorder="1" applyAlignment="1">
      <alignment/>
    </xf>
    <xf numFmtId="9" fontId="1" fillId="36" borderId="13" xfId="59" applyFont="1" applyFill="1" applyBorder="1" applyAlignment="1">
      <alignment horizontal="right"/>
    </xf>
    <xf numFmtId="165" fontId="1" fillId="36" borderId="13" xfId="0" applyNumberFormat="1" applyFont="1" applyFill="1" applyBorder="1" applyAlignment="1">
      <alignment/>
    </xf>
    <xf numFmtId="9" fontId="1" fillId="36" borderId="13" xfId="0" applyNumberFormat="1" applyFont="1" applyFill="1" applyBorder="1" applyAlignment="1">
      <alignment/>
    </xf>
    <xf numFmtId="9" fontId="1" fillId="36" borderId="13" xfId="0" applyNumberFormat="1" applyFont="1" applyFill="1" applyBorder="1" applyAlignment="1">
      <alignment horizontal="right"/>
    </xf>
    <xf numFmtId="0" fontId="2" fillId="36" borderId="13" xfId="0" applyFont="1" applyFill="1" applyBorder="1" applyAlignment="1">
      <alignment/>
    </xf>
    <xf numFmtId="6" fontId="2" fillId="34" borderId="12" xfId="0" applyNumberFormat="1" applyFont="1" applyFill="1" applyBorder="1" applyAlignment="1">
      <alignment/>
    </xf>
    <xf numFmtId="6" fontId="2" fillId="34" borderId="15" xfId="0" applyNumberFormat="1" applyFont="1"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6" fontId="2" fillId="34" borderId="16" xfId="0" applyNumberFormat="1" applyFont="1" applyFill="1" applyBorder="1" applyAlignment="1">
      <alignment/>
    </xf>
    <xf numFmtId="6" fontId="2" fillId="34" borderId="17" xfId="0" applyNumberFormat="1" applyFont="1" applyFill="1" applyBorder="1" applyAlignment="1">
      <alignment/>
    </xf>
    <xf numFmtId="0" fontId="2" fillId="36" borderId="10" xfId="0" applyFont="1" applyFill="1" applyBorder="1" applyAlignment="1">
      <alignment horizontal="center"/>
    </xf>
    <xf numFmtId="0" fontId="2" fillId="36" borderId="18" xfId="0" applyFont="1" applyFill="1" applyBorder="1" applyAlignment="1">
      <alignment horizontal="center"/>
    </xf>
    <xf numFmtId="0" fontId="1" fillId="34" borderId="15" xfId="0" applyFont="1" applyFill="1" applyBorder="1" applyAlignment="1">
      <alignment/>
    </xf>
    <xf numFmtId="9" fontId="1" fillId="36" borderId="13" xfId="59" applyFont="1" applyFill="1" applyBorder="1" applyAlignment="1">
      <alignment/>
    </xf>
    <xf numFmtId="10" fontId="1" fillId="36" borderId="13" xfId="0" applyNumberFormat="1" applyFont="1" applyFill="1" applyBorder="1" applyAlignment="1">
      <alignment horizontal="right"/>
    </xf>
    <xf numFmtId="10" fontId="1" fillId="36" borderId="13" xfId="0" applyNumberFormat="1" applyFont="1" applyFill="1" applyBorder="1" applyAlignment="1">
      <alignment/>
    </xf>
    <xf numFmtId="0" fontId="2" fillId="37" borderId="15" xfId="0" applyFont="1" applyFill="1" applyBorder="1" applyAlignment="1">
      <alignment/>
    </xf>
    <xf numFmtId="10" fontId="1" fillId="37" borderId="15" xfId="59" applyNumberFormat="1" applyFont="1" applyFill="1" applyBorder="1" applyAlignment="1">
      <alignment/>
    </xf>
    <xf numFmtId="0" fontId="2" fillId="33" borderId="19" xfId="0" applyFont="1" applyFill="1" applyBorder="1" applyAlignment="1">
      <alignment/>
    </xf>
    <xf numFmtId="10" fontId="2" fillId="34" borderId="15" xfId="59" applyNumberFormat="1" applyFont="1" applyFill="1" applyBorder="1" applyAlignment="1">
      <alignment/>
    </xf>
    <xf numFmtId="10" fontId="2" fillId="0" borderId="0" xfId="59" applyNumberFormat="1" applyFont="1" applyFill="1" applyBorder="1" applyAlignment="1">
      <alignment/>
    </xf>
    <xf numFmtId="0" fontId="2" fillId="33" borderId="10" xfId="0" applyFont="1" applyFill="1" applyBorder="1" applyAlignment="1">
      <alignment/>
    </xf>
    <xf numFmtId="10" fontId="1" fillId="0" borderId="0" xfId="59" applyNumberFormat="1" applyFont="1" applyFill="1" applyBorder="1" applyAlignment="1">
      <alignment/>
    </xf>
    <xf numFmtId="0" fontId="2" fillId="36" borderId="12" xfId="0" applyFont="1" applyFill="1" applyBorder="1" applyAlignment="1">
      <alignment/>
    </xf>
    <xf numFmtId="0" fontId="2" fillId="36" borderId="15" xfId="0" applyFont="1" applyFill="1" applyBorder="1" applyAlignment="1">
      <alignment/>
    </xf>
    <xf numFmtId="176" fontId="13" fillId="34" borderId="12" xfId="44" applyNumberFormat="1" applyFont="1" applyFill="1" applyBorder="1" applyAlignment="1">
      <alignment/>
    </xf>
    <xf numFmtId="176" fontId="13" fillId="34" borderId="13" xfId="59" applyNumberFormat="1" applyFont="1" applyFill="1" applyBorder="1" applyAlignment="1">
      <alignment/>
    </xf>
    <xf numFmtId="176" fontId="13" fillId="34" borderId="15" xfId="59" applyNumberFormat="1" applyFont="1" applyFill="1" applyBorder="1" applyAlignment="1">
      <alignment/>
    </xf>
    <xf numFmtId="176" fontId="13" fillId="34" borderId="12" xfId="59" applyNumberFormat="1" applyFont="1" applyFill="1" applyBorder="1" applyAlignment="1">
      <alignment/>
    </xf>
    <xf numFmtId="10" fontId="13" fillId="34" borderId="12" xfId="59" applyNumberFormat="1" applyFont="1" applyFill="1" applyBorder="1" applyAlignment="1">
      <alignment/>
    </xf>
    <xf numFmtId="10" fontId="13" fillId="34" borderId="13" xfId="59" applyNumberFormat="1" applyFont="1" applyFill="1" applyBorder="1" applyAlignment="1">
      <alignment/>
    </xf>
    <xf numFmtId="10" fontId="13" fillId="34" borderId="15" xfId="59" applyNumberFormat="1" applyFont="1" applyFill="1" applyBorder="1" applyAlignment="1">
      <alignment/>
    </xf>
    <xf numFmtId="10" fontId="13" fillId="37" borderId="12" xfId="59" applyNumberFormat="1" applyFont="1" applyFill="1" applyBorder="1" applyAlignment="1">
      <alignment/>
    </xf>
    <xf numFmtId="10" fontId="13" fillId="37" borderId="13" xfId="59" applyNumberFormat="1" applyFont="1" applyFill="1" applyBorder="1" applyAlignment="1">
      <alignment/>
    </xf>
    <xf numFmtId="10" fontId="13" fillId="37" borderId="15" xfId="59" applyNumberFormat="1" applyFont="1" applyFill="1" applyBorder="1" applyAlignment="1">
      <alignment/>
    </xf>
    <xf numFmtId="10" fontId="13" fillId="37" borderId="12" xfId="0" applyNumberFormat="1" applyFont="1" applyFill="1" applyBorder="1" applyAlignment="1">
      <alignment/>
    </xf>
    <xf numFmtId="10" fontId="13" fillId="37" borderId="13" xfId="0" applyNumberFormat="1" applyFont="1" applyFill="1" applyBorder="1" applyAlignment="1">
      <alignment/>
    </xf>
    <xf numFmtId="10" fontId="13" fillId="37" borderId="15" xfId="0" applyNumberFormat="1" applyFont="1" applyFill="1" applyBorder="1" applyAlignment="1">
      <alignment/>
    </xf>
    <xf numFmtId="10" fontId="2" fillId="37" borderId="12" xfId="0" applyNumberFormat="1" applyFont="1" applyFill="1" applyBorder="1" applyAlignment="1">
      <alignment/>
    </xf>
    <xf numFmtId="10" fontId="2" fillId="37" borderId="13" xfId="0" applyNumberFormat="1" applyFont="1" applyFill="1" applyBorder="1" applyAlignment="1">
      <alignment/>
    </xf>
    <xf numFmtId="10" fontId="2" fillId="37" borderId="15" xfId="0" applyNumberFormat="1" applyFont="1" applyFill="1" applyBorder="1" applyAlignment="1">
      <alignment/>
    </xf>
    <xf numFmtId="10" fontId="2" fillId="37" borderId="12" xfId="59" applyNumberFormat="1" applyFont="1" applyFill="1" applyBorder="1" applyAlignment="1">
      <alignment/>
    </xf>
    <xf numFmtId="10" fontId="2" fillId="37" borderId="13" xfId="59" applyNumberFormat="1" applyFont="1" applyFill="1" applyBorder="1" applyAlignment="1">
      <alignment/>
    </xf>
    <xf numFmtId="10" fontId="2" fillId="37" borderId="15" xfId="59" applyNumberFormat="1" applyFont="1" applyFill="1" applyBorder="1" applyAlignment="1">
      <alignment/>
    </xf>
    <xf numFmtId="176" fontId="2" fillId="34" borderId="12" xfId="44" applyNumberFormat="1" applyFont="1" applyFill="1" applyBorder="1" applyAlignment="1">
      <alignment/>
    </xf>
    <xf numFmtId="176" fontId="2" fillId="34" borderId="10" xfId="59" applyNumberFormat="1" applyFont="1" applyFill="1" applyBorder="1" applyAlignment="1">
      <alignment/>
    </xf>
    <xf numFmtId="10" fontId="2" fillId="34" borderId="12" xfId="59" applyNumberFormat="1" applyFont="1" applyFill="1" applyBorder="1" applyAlignment="1">
      <alignment/>
    </xf>
    <xf numFmtId="176" fontId="2" fillId="34" borderId="13" xfId="59" applyNumberFormat="1" applyFont="1" applyFill="1" applyBorder="1" applyAlignment="1">
      <alignment/>
    </xf>
    <xf numFmtId="176" fontId="2" fillId="34" borderId="18" xfId="59" applyNumberFormat="1" applyFont="1" applyFill="1" applyBorder="1" applyAlignment="1">
      <alignment/>
    </xf>
    <xf numFmtId="10" fontId="2" fillId="34" borderId="13" xfId="59" applyNumberFormat="1" applyFont="1" applyFill="1" applyBorder="1" applyAlignment="1">
      <alignment/>
    </xf>
    <xf numFmtId="176" fontId="2" fillId="34" borderId="15" xfId="59" applyNumberFormat="1" applyFont="1" applyFill="1" applyBorder="1" applyAlignment="1">
      <alignment/>
    </xf>
    <xf numFmtId="176" fontId="2" fillId="34" borderId="11" xfId="59" applyNumberFormat="1" applyFont="1" applyFill="1" applyBorder="1" applyAlignment="1">
      <alignment/>
    </xf>
    <xf numFmtId="0" fontId="2" fillId="36" borderId="20" xfId="0" applyFont="1" applyFill="1" applyBorder="1" applyAlignment="1">
      <alignment horizontal="right"/>
    </xf>
    <xf numFmtId="0" fontId="2" fillId="33" borderId="16" xfId="0" applyFont="1" applyFill="1" applyBorder="1" applyAlignment="1">
      <alignment/>
    </xf>
    <xf numFmtId="10" fontId="1" fillId="33" borderId="21" xfId="59" applyNumberFormat="1" applyFont="1" applyFill="1" applyBorder="1" applyAlignment="1">
      <alignment/>
    </xf>
    <xf numFmtId="0" fontId="3" fillId="33" borderId="21" xfId="0" applyFont="1" applyFill="1" applyBorder="1" applyAlignment="1">
      <alignment/>
    </xf>
    <xf numFmtId="0" fontId="2" fillId="33" borderId="17" xfId="0" applyFont="1" applyFill="1" applyBorder="1" applyAlignment="1">
      <alignment/>
    </xf>
    <xf numFmtId="10" fontId="1" fillId="33" borderId="22" xfId="59" applyNumberFormat="1" applyFont="1" applyFill="1" applyBorder="1" applyAlignment="1">
      <alignment/>
    </xf>
    <xf numFmtId="0" fontId="3" fillId="33" borderId="22" xfId="0" applyFont="1" applyFill="1" applyBorder="1" applyAlignment="1">
      <alignment/>
    </xf>
    <xf numFmtId="0" fontId="2" fillId="33" borderId="11" xfId="0" applyFont="1" applyFill="1" applyBorder="1" applyAlignment="1">
      <alignment/>
    </xf>
    <xf numFmtId="0" fontId="2" fillId="33" borderId="23" xfId="0" applyFont="1" applyFill="1" applyBorder="1" applyAlignment="1">
      <alignment/>
    </xf>
    <xf numFmtId="10" fontId="1" fillId="33" borderId="24" xfId="59" applyNumberFormat="1" applyFont="1" applyFill="1" applyBorder="1" applyAlignment="1">
      <alignment/>
    </xf>
    <xf numFmtId="0" fontId="3" fillId="33" borderId="24" xfId="0" applyFont="1" applyFill="1" applyBorder="1" applyAlignment="1">
      <alignment/>
    </xf>
    <xf numFmtId="10" fontId="1" fillId="34" borderId="20" xfId="59" applyNumberFormat="1" applyFont="1" applyFill="1" applyBorder="1" applyAlignment="1">
      <alignment horizontal="right"/>
    </xf>
    <xf numFmtId="10" fontId="1" fillId="37" borderId="20" xfId="59" applyNumberFormat="1" applyFont="1" applyFill="1" applyBorder="1" applyAlignment="1">
      <alignment horizontal="right"/>
    </xf>
    <xf numFmtId="0" fontId="1" fillId="37" borderId="20" xfId="0" applyFont="1" applyFill="1" applyBorder="1" applyAlignment="1">
      <alignment horizontal="right"/>
    </xf>
    <xf numFmtId="0" fontId="1" fillId="36" borderId="20" xfId="0" applyFont="1" applyFill="1" applyBorder="1" applyAlignment="1">
      <alignment horizontal="right"/>
    </xf>
    <xf numFmtId="0" fontId="1" fillId="37" borderId="12" xfId="0" applyFont="1" applyFill="1" applyBorder="1" applyAlignment="1">
      <alignment horizontal="right"/>
    </xf>
    <xf numFmtId="0" fontId="2" fillId="38" borderId="12" xfId="0" applyFont="1" applyFill="1" applyBorder="1" applyAlignment="1">
      <alignment/>
    </xf>
    <xf numFmtId="0" fontId="2" fillId="38" borderId="12" xfId="0" applyFont="1" applyFill="1" applyBorder="1" applyAlignment="1">
      <alignment horizontal="center"/>
    </xf>
    <xf numFmtId="0" fontId="2" fillId="38" borderId="13" xfId="0" applyFont="1" applyFill="1" applyBorder="1" applyAlignment="1">
      <alignment/>
    </xf>
    <xf numFmtId="0" fontId="2" fillId="38" borderId="13" xfId="0" applyFont="1" applyFill="1" applyBorder="1" applyAlignment="1">
      <alignment horizontal="center"/>
    </xf>
    <xf numFmtId="0" fontId="2" fillId="38" borderId="15" xfId="0" applyFont="1" applyFill="1" applyBorder="1" applyAlignment="1">
      <alignment/>
    </xf>
    <xf numFmtId="0" fontId="2" fillId="38" borderId="15" xfId="0" applyFont="1" applyFill="1" applyBorder="1" applyAlignment="1">
      <alignment horizontal="center"/>
    </xf>
    <xf numFmtId="0" fontId="13" fillId="0" borderId="0" xfId="0" applyFont="1" applyAlignment="1">
      <alignment/>
    </xf>
    <xf numFmtId="0" fontId="2" fillId="36" borderId="10" xfId="0" applyFont="1" applyFill="1" applyBorder="1" applyAlignment="1">
      <alignment/>
    </xf>
    <xf numFmtId="10" fontId="18" fillId="36" borderId="11" xfId="59" applyNumberFormat="1" applyFont="1" applyFill="1" applyBorder="1" applyAlignment="1">
      <alignment/>
    </xf>
    <xf numFmtId="0" fontId="13" fillId="33" borderId="16" xfId="0" applyFont="1" applyFill="1" applyBorder="1" applyAlignment="1">
      <alignment/>
    </xf>
    <xf numFmtId="0" fontId="13" fillId="33" borderId="25" xfId="0" applyFont="1" applyFill="1" applyBorder="1" applyAlignment="1">
      <alignment/>
    </xf>
    <xf numFmtId="0" fontId="13" fillId="36" borderId="16" xfId="0" applyFont="1" applyFill="1" applyBorder="1" applyAlignment="1">
      <alignment/>
    </xf>
    <xf numFmtId="0" fontId="13" fillId="36" borderId="17" xfId="0" applyFont="1" applyFill="1" applyBorder="1" applyAlignment="1">
      <alignment/>
    </xf>
    <xf numFmtId="9" fontId="13" fillId="33" borderId="10" xfId="0" applyNumberFormat="1" applyFont="1" applyFill="1" applyBorder="1" applyAlignment="1">
      <alignment/>
    </xf>
    <xf numFmtId="9" fontId="13" fillId="33" borderId="18" xfId="0" applyNumberFormat="1" applyFont="1" applyFill="1" applyBorder="1" applyAlignment="1">
      <alignment/>
    </xf>
    <xf numFmtId="0" fontId="2" fillId="0" borderId="0" xfId="0" applyFont="1" applyAlignment="1" quotePrefix="1">
      <alignment horizontal="left"/>
    </xf>
    <xf numFmtId="0" fontId="5" fillId="34" borderId="13" xfId="0" applyFont="1" applyFill="1" applyBorder="1" applyAlignment="1">
      <alignment/>
    </xf>
    <xf numFmtId="10" fontId="14" fillId="37" borderId="20" xfId="59" applyNumberFormat="1" applyFont="1" applyFill="1" applyBorder="1" applyAlignment="1">
      <alignment horizontal="right"/>
    </xf>
    <xf numFmtId="0" fontId="14" fillId="37" borderId="20" xfId="0" applyFont="1" applyFill="1" applyBorder="1" applyAlignment="1">
      <alignment horizontal="right"/>
    </xf>
    <xf numFmtId="0" fontId="2" fillId="34" borderId="13" xfId="0" applyFont="1" applyFill="1" applyBorder="1" applyAlignment="1" quotePrefix="1">
      <alignment horizontal="left"/>
    </xf>
    <xf numFmtId="0" fontId="13" fillId="0" borderId="0" xfId="0" applyFont="1" applyAlignment="1" quotePrefix="1">
      <alignment horizontal="left"/>
    </xf>
    <xf numFmtId="0" fontId="6" fillId="0" borderId="0" xfId="0" applyFont="1" applyAlignment="1" quotePrefix="1">
      <alignment horizontal="left"/>
    </xf>
    <xf numFmtId="0" fontId="2" fillId="0" borderId="0" xfId="0" applyFont="1" applyFill="1" applyBorder="1" applyAlignment="1">
      <alignment horizontal="center"/>
    </xf>
    <xf numFmtId="6" fontId="1" fillId="0" borderId="0" xfId="0" applyNumberFormat="1" applyFont="1" applyFill="1" applyBorder="1" applyAlignment="1">
      <alignment/>
    </xf>
    <xf numFmtId="165" fontId="1" fillId="0" borderId="0" xfId="0" applyNumberFormat="1" applyFont="1" applyFill="1" applyBorder="1" applyAlignment="1">
      <alignment/>
    </xf>
    <xf numFmtId="10" fontId="1" fillId="0" borderId="0" xfId="0" applyNumberFormat="1" applyFont="1" applyFill="1" applyBorder="1" applyAlignment="1">
      <alignment horizontal="right"/>
    </xf>
    <xf numFmtId="9" fontId="1" fillId="0" borderId="0" xfId="59" applyFont="1" applyFill="1" applyBorder="1" applyAlignment="1">
      <alignment/>
    </xf>
    <xf numFmtId="6" fontId="1" fillId="0" borderId="0" xfId="0" applyNumberFormat="1" applyFont="1" applyFill="1" applyBorder="1" applyAlignment="1">
      <alignment horizontal="right"/>
    </xf>
    <xf numFmtId="0" fontId="2" fillId="33" borderId="12" xfId="0" applyFont="1" applyFill="1" applyBorder="1" applyAlignment="1" quotePrefix="1">
      <alignment horizontal="left"/>
    </xf>
    <xf numFmtId="0" fontId="13" fillId="0" borderId="0" xfId="0" applyFont="1" applyAlignment="1">
      <alignment horizontal="left"/>
    </xf>
    <xf numFmtId="0" fontId="2" fillId="37" borderId="13" xfId="0" applyFont="1" applyFill="1" applyBorder="1" applyAlignment="1">
      <alignment/>
    </xf>
    <xf numFmtId="0" fontId="2" fillId="37" borderId="12" xfId="0" applyFont="1" applyFill="1" applyBorder="1" applyAlignment="1">
      <alignment/>
    </xf>
    <xf numFmtId="6" fontId="1" fillId="37" borderId="12" xfId="0" applyNumberFormat="1" applyFont="1" applyFill="1" applyBorder="1" applyAlignment="1">
      <alignment horizontal="right"/>
    </xf>
    <xf numFmtId="0" fontId="2" fillId="37" borderId="17" xfId="0" applyFont="1" applyFill="1" applyBorder="1" applyAlignment="1">
      <alignment/>
    </xf>
    <xf numFmtId="0" fontId="2" fillId="39" borderId="23" xfId="0" applyFont="1" applyFill="1" applyBorder="1" applyAlignment="1">
      <alignment/>
    </xf>
    <xf numFmtId="0" fontId="2" fillId="37" borderId="23" xfId="0" applyFont="1" applyFill="1" applyBorder="1" applyAlignment="1">
      <alignment/>
    </xf>
    <xf numFmtId="0" fontId="2" fillId="39" borderId="17" xfId="0" applyFont="1" applyFill="1" applyBorder="1" applyAlignment="1">
      <alignment/>
    </xf>
    <xf numFmtId="6" fontId="1" fillId="37" borderId="15" xfId="59" applyNumberFormat="1" applyFont="1" applyFill="1" applyBorder="1" applyAlignment="1">
      <alignment/>
    </xf>
    <xf numFmtId="6" fontId="1" fillId="37" borderId="12" xfId="59" applyNumberFormat="1" applyFont="1" applyFill="1" applyBorder="1" applyAlignment="1">
      <alignment/>
    </xf>
    <xf numFmtId="189" fontId="1" fillId="37" borderId="20" xfId="59" applyNumberFormat="1" applyFont="1" applyFill="1" applyBorder="1" applyAlignment="1">
      <alignment/>
    </xf>
    <xf numFmtId="189" fontId="2" fillId="39" borderId="15" xfId="59" applyNumberFormat="1" applyFont="1" applyFill="1" applyBorder="1" applyAlignment="1">
      <alignment/>
    </xf>
    <xf numFmtId="0" fontId="1" fillId="34" borderId="13" xfId="0" applyFont="1" applyFill="1" applyBorder="1" applyAlignment="1">
      <alignment/>
    </xf>
    <xf numFmtId="0" fontId="11" fillId="0" borderId="0" xfId="0" applyFont="1" applyAlignment="1" quotePrefix="1">
      <alignment horizontal="left"/>
    </xf>
    <xf numFmtId="0" fontId="2" fillId="40" borderId="23" xfId="0" applyFont="1" applyFill="1" applyBorder="1" applyAlignment="1">
      <alignment/>
    </xf>
    <xf numFmtId="0" fontId="2" fillId="40" borderId="24" xfId="0" applyFont="1" applyFill="1" applyBorder="1" applyAlignment="1">
      <alignment/>
    </xf>
    <xf numFmtId="0" fontId="2" fillId="40" borderId="19" xfId="0" applyFont="1" applyFill="1" applyBorder="1" applyAlignment="1">
      <alignment/>
    </xf>
    <xf numFmtId="6" fontId="2" fillId="36" borderId="11" xfId="0" applyNumberFormat="1" applyFont="1" applyFill="1" applyBorder="1" applyAlignment="1">
      <alignment/>
    </xf>
    <xf numFmtId="0" fontId="2" fillId="34" borderId="23" xfId="0" applyFont="1" applyFill="1" applyBorder="1" applyAlignment="1" quotePrefix="1">
      <alignment horizontal="left"/>
    </xf>
    <xf numFmtId="0" fontId="2" fillId="34" borderId="24" xfId="0" applyFont="1" applyFill="1" applyBorder="1" applyAlignment="1">
      <alignment/>
    </xf>
    <xf numFmtId="0" fontId="2" fillId="34" borderId="19" xfId="0" applyFont="1" applyFill="1" applyBorder="1" applyAlignment="1">
      <alignment/>
    </xf>
    <xf numFmtId="2" fontId="0" fillId="0" borderId="0" xfId="0" applyNumberFormat="1" applyAlignment="1">
      <alignment/>
    </xf>
    <xf numFmtId="2" fontId="2" fillId="0" borderId="0" xfId="0" applyNumberFormat="1" applyFont="1" applyAlignment="1">
      <alignment/>
    </xf>
    <xf numFmtId="0" fontId="2" fillId="0" borderId="0" xfId="0" applyFont="1" applyAlignment="1" applyProtection="1">
      <alignment horizontal="left"/>
      <protection/>
    </xf>
    <xf numFmtId="2" fontId="1" fillId="0" borderId="0" xfId="0" applyNumberFormat="1" applyFont="1" applyAlignment="1" applyProtection="1">
      <alignment/>
      <protection locked="0"/>
    </xf>
    <xf numFmtId="2" fontId="1" fillId="0" borderId="0" xfId="59" applyNumberFormat="1" applyFont="1" applyAlignment="1" applyProtection="1">
      <alignment/>
      <protection locked="0"/>
    </xf>
    <xf numFmtId="2" fontId="2" fillId="0" borderId="0" xfId="0" applyNumberFormat="1" applyFont="1" applyAlignment="1" applyProtection="1">
      <alignment/>
      <protection/>
    </xf>
    <xf numFmtId="0" fontId="2" fillId="0" borderId="0" xfId="0" applyFont="1" applyAlignment="1" applyProtection="1" quotePrefix="1">
      <alignment horizontal="left"/>
      <protection/>
    </xf>
    <xf numFmtId="44" fontId="2" fillId="0" borderId="0" xfId="44" applyFont="1" applyAlignment="1" applyProtection="1">
      <alignment/>
      <protection/>
    </xf>
    <xf numFmtId="44" fontId="6" fillId="0" borderId="0" xfId="0" applyNumberFormat="1" applyFont="1" applyAlignment="1">
      <alignment/>
    </xf>
    <xf numFmtId="199" fontId="6" fillId="0" borderId="0" xfId="0" applyNumberFormat="1" applyFont="1" applyAlignment="1">
      <alignment horizontal="left"/>
    </xf>
    <xf numFmtId="0" fontId="2" fillId="34" borderId="23" xfId="0" applyFont="1" applyFill="1" applyBorder="1" applyAlignment="1">
      <alignment/>
    </xf>
    <xf numFmtId="0" fontId="2" fillId="37" borderId="24" xfId="0" applyFont="1" applyFill="1" applyBorder="1" applyAlignment="1">
      <alignment/>
    </xf>
    <xf numFmtId="44" fontId="2" fillId="37" borderId="19" xfId="0" applyNumberFormat="1" applyFont="1" applyFill="1" applyBorder="1" applyAlignment="1">
      <alignment/>
    </xf>
    <xf numFmtId="0" fontId="2" fillId="39" borderId="24" xfId="0" applyFont="1" applyFill="1" applyBorder="1" applyAlignment="1">
      <alignment/>
    </xf>
    <xf numFmtId="189" fontId="2" fillId="39" borderId="19" xfId="59" applyNumberFormat="1" applyFont="1" applyFill="1" applyBorder="1" applyAlignment="1">
      <alignment/>
    </xf>
    <xf numFmtId="44" fontId="2" fillId="34" borderId="19" xfId="44" applyFont="1" applyFill="1" applyBorder="1" applyAlignment="1">
      <alignment/>
    </xf>
    <xf numFmtId="0" fontId="2" fillId="33" borderId="21" xfId="0" applyFont="1" applyFill="1" applyBorder="1" applyAlignment="1">
      <alignment/>
    </xf>
    <xf numFmtId="0" fontId="2" fillId="33" borderId="25" xfId="0" applyFont="1" applyFill="1" applyBorder="1" applyAlignment="1">
      <alignment/>
    </xf>
    <xf numFmtId="199" fontId="2" fillId="33" borderId="0" xfId="0" applyNumberFormat="1" applyFont="1" applyFill="1" applyBorder="1" applyAlignment="1">
      <alignment/>
    </xf>
    <xf numFmtId="44" fontId="2" fillId="33" borderId="0" xfId="0" applyNumberFormat="1" applyFont="1" applyFill="1" applyBorder="1" applyAlignment="1">
      <alignment/>
    </xf>
    <xf numFmtId="189" fontId="2" fillId="33" borderId="18" xfId="0" applyNumberFormat="1" applyFont="1" applyFill="1" applyBorder="1" applyAlignment="1">
      <alignment/>
    </xf>
    <xf numFmtId="9" fontId="2" fillId="36" borderId="25" xfId="0" applyNumberFormat="1" applyFont="1" applyFill="1" applyBorder="1" applyAlignment="1">
      <alignment/>
    </xf>
    <xf numFmtId="2" fontId="2" fillId="40" borderId="0" xfId="0" applyNumberFormat="1" applyFont="1" applyFill="1" applyBorder="1" applyAlignment="1">
      <alignment/>
    </xf>
    <xf numFmtId="10" fontId="2" fillId="40" borderId="18" xfId="59" applyNumberFormat="1" applyFont="1" applyFill="1" applyBorder="1" applyAlignment="1">
      <alignment/>
    </xf>
    <xf numFmtId="9" fontId="2" fillId="36" borderId="17" xfId="0" applyNumberFormat="1" applyFont="1" applyFill="1" applyBorder="1" applyAlignment="1">
      <alignment/>
    </xf>
    <xf numFmtId="2" fontId="2" fillId="40" borderId="22" xfId="0" applyNumberFormat="1" applyFont="1" applyFill="1" applyBorder="1" applyAlignment="1">
      <alignment/>
    </xf>
    <xf numFmtId="10" fontId="2" fillId="40" borderId="11" xfId="59" applyNumberFormat="1" applyFont="1" applyFill="1" applyBorder="1" applyAlignment="1">
      <alignment/>
    </xf>
    <xf numFmtId="2" fontId="2" fillId="40" borderId="16" xfId="0" applyNumberFormat="1" applyFont="1" applyFill="1" applyBorder="1" applyAlignment="1">
      <alignment/>
    </xf>
    <xf numFmtId="2" fontId="2" fillId="40" borderId="21" xfId="0" applyNumberFormat="1" applyFont="1" applyFill="1" applyBorder="1" applyAlignment="1">
      <alignment/>
    </xf>
    <xf numFmtId="10" fontId="2" fillId="40" borderId="10" xfId="59" applyNumberFormat="1" applyFont="1" applyFill="1" applyBorder="1" applyAlignment="1">
      <alignment/>
    </xf>
    <xf numFmtId="2" fontId="2" fillId="40" borderId="25" xfId="0" applyNumberFormat="1" applyFont="1" applyFill="1" applyBorder="1" applyAlignment="1">
      <alignment/>
    </xf>
    <xf numFmtId="2" fontId="2" fillId="40" borderId="17" xfId="0" applyNumberFormat="1" applyFont="1" applyFill="1" applyBorder="1" applyAlignment="1">
      <alignment/>
    </xf>
    <xf numFmtId="0" fontId="20" fillId="0" borderId="0" xfId="0" applyFont="1" applyAlignment="1">
      <alignment/>
    </xf>
    <xf numFmtId="0" fontId="6" fillId="0" borderId="0" xfId="0" applyFont="1" applyFill="1" applyAlignment="1" quotePrefix="1">
      <alignment vertical="center" wrapText="1"/>
    </xf>
    <xf numFmtId="0" fontId="22" fillId="0" borderId="0" xfId="0" applyFont="1" applyAlignment="1">
      <alignment/>
    </xf>
    <xf numFmtId="0" fontId="23" fillId="0" borderId="0" xfId="0" applyFont="1" applyAlignment="1">
      <alignment/>
    </xf>
    <xf numFmtId="0" fontId="24" fillId="0" borderId="0" xfId="0" applyFont="1" applyAlignment="1">
      <alignment/>
    </xf>
    <xf numFmtId="6" fontId="25" fillId="0" borderId="0" xfId="0" applyNumberFormat="1" applyFont="1" applyAlignment="1">
      <alignment horizontal="right"/>
    </xf>
    <xf numFmtId="8" fontId="24" fillId="36" borderId="26" xfId="0" applyNumberFormat="1" applyFont="1" applyFill="1" applyBorder="1" applyAlignment="1">
      <alignment/>
    </xf>
    <xf numFmtId="9" fontId="25" fillId="0" borderId="0" xfId="0" applyNumberFormat="1" applyFont="1" applyAlignment="1">
      <alignment horizontal="right"/>
    </xf>
    <xf numFmtId="10" fontId="24" fillId="36" borderId="26" xfId="59" applyNumberFormat="1" applyFont="1" applyFill="1" applyBorder="1" applyAlignment="1">
      <alignment/>
    </xf>
    <xf numFmtId="168" fontId="2" fillId="0" borderId="0" xfId="0" applyNumberFormat="1" applyFont="1" applyAlignment="1" applyProtection="1">
      <alignment/>
      <protection/>
    </xf>
    <xf numFmtId="0" fontId="8" fillId="0" borderId="0" xfId="0" applyFont="1" applyAlignment="1" quotePrefix="1">
      <alignment horizontal="center"/>
    </xf>
    <xf numFmtId="0" fontId="8" fillId="0" borderId="0" xfId="0" applyFont="1" applyAlignment="1">
      <alignment horizontal="center"/>
    </xf>
    <xf numFmtId="0" fontId="2" fillId="36" borderId="16" xfId="0" applyFont="1" applyFill="1" applyBorder="1" applyAlignment="1">
      <alignment wrapText="1"/>
    </xf>
    <xf numFmtId="0" fontId="2" fillId="36" borderId="21" xfId="0" applyFont="1" applyFill="1" applyBorder="1" applyAlignment="1">
      <alignment wrapText="1"/>
    </xf>
    <xf numFmtId="0" fontId="2" fillId="36" borderId="17" xfId="0" applyFont="1" applyFill="1" applyBorder="1" applyAlignment="1">
      <alignment wrapText="1"/>
    </xf>
    <xf numFmtId="0" fontId="2" fillId="36" borderId="22" xfId="0" applyFont="1" applyFill="1" applyBorder="1" applyAlignment="1">
      <alignment wrapText="1"/>
    </xf>
    <xf numFmtId="0" fontId="2" fillId="33" borderId="16" xfId="0" applyFont="1" applyFill="1" applyBorder="1" applyAlignment="1" quotePrefix="1">
      <alignment wrapText="1"/>
    </xf>
    <xf numFmtId="0" fontId="0" fillId="33" borderId="21" xfId="0" applyFill="1" applyBorder="1" applyAlignment="1">
      <alignment wrapText="1"/>
    </xf>
    <xf numFmtId="0" fontId="0" fillId="33" borderId="17" xfId="0" applyFill="1" applyBorder="1" applyAlignment="1">
      <alignment wrapText="1"/>
    </xf>
    <xf numFmtId="0" fontId="0" fillId="33" borderId="22" xfId="0" applyFill="1" applyBorder="1" applyAlignment="1">
      <alignment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quotePrefix="1">
      <alignment horizontal="left" vertical="center" wrapText="1"/>
    </xf>
    <xf numFmtId="0" fontId="20" fillId="0" borderId="0" xfId="0" applyFont="1" applyAlignment="1">
      <alignment horizontal="left" wrapText="1"/>
    </xf>
    <xf numFmtId="0" fontId="2" fillId="0" borderId="25" xfId="0" applyFont="1" applyBorder="1" applyAlignment="1">
      <alignment horizontal="left" vertical="center" wrapText="1"/>
    </xf>
    <xf numFmtId="0" fontId="24"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Without Taxes</a:t>
            </a:r>
          </a:p>
        </c:rich>
      </c:tx>
      <c:layout>
        <c:manualLayout>
          <c:xMode val="factor"/>
          <c:yMode val="factor"/>
          <c:x val="0.00275"/>
          <c:y val="0"/>
        </c:manualLayout>
      </c:layout>
      <c:spPr>
        <a:noFill/>
        <a:ln>
          <a:noFill/>
        </a:ln>
      </c:spPr>
    </c:title>
    <c:plotArea>
      <c:layout>
        <c:manualLayout>
          <c:xMode val="edge"/>
          <c:yMode val="edge"/>
          <c:x val="0.05625"/>
          <c:y val="0.04675"/>
          <c:w val="0.88075"/>
          <c:h val="0.863"/>
        </c:manualLayout>
      </c:layout>
      <c:scatterChart>
        <c:scatterStyle val="lineMarker"/>
        <c:varyColors val="0"/>
        <c:ser>
          <c:idx val="0"/>
          <c:order val="0"/>
          <c:tx>
            <c:strRef>
              <c:f>Chapter!$F$85</c:f>
              <c:strCache>
                <c:ptCount val="1"/>
                <c:pt idx="0">
                  <c:v>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Chapter!$D$86:$D$90</c:f>
              <c:numCache/>
            </c:numRef>
          </c:xVal>
          <c:yVal>
            <c:numRef>
              <c:f>Chapter!$F$86:$F$90</c:f>
              <c:numCache/>
            </c:numRef>
          </c:yVal>
          <c:smooth val="0"/>
        </c:ser>
        <c:ser>
          <c:idx val="1"/>
          <c:order val="1"/>
          <c:tx>
            <c:strRef>
              <c:f>Chapter!$G$85</c:f>
              <c:strCache>
                <c:ptCount val="1"/>
                <c:pt idx="0">
                  <c:v>WACC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Chapter!$D$86:$D$90</c:f>
              <c:numCache/>
            </c:numRef>
          </c:xVal>
          <c:yVal>
            <c:numRef>
              <c:f>Chapter!$G$86:$G$90</c:f>
              <c:numCache/>
            </c:numRef>
          </c:yVal>
          <c:smooth val="0"/>
        </c:ser>
        <c:ser>
          <c:idx val="2"/>
          <c:order val="2"/>
          <c:tx>
            <c:strRef>
              <c:f>Chapter!$E$85</c:f>
              <c:strCache>
                <c:ptCount val="1"/>
                <c:pt idx="0">
                  <c:v>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Chapter!$D$86:$D$90</c:f>
              <c:numCache/>
            </c:numRef>
          </c:xVal>
          <c:yVal>
            <c:numRef>
              <c:f>Chapter!$E$86:$E$90</c:f>
              <c:numCache/>
            </c:numRef>
          </c:yVal>
          <c:smooth val="0"/>
        </c:ser>
        <c:axId val="20782430"/>
        <c:axId val="52824143"/>
      </c:scatterChart>
      <c:valAx>
        <c:axId val="20782430"/>
        <c:scaling>
          <c:orientation val="minMax"/>
        </c:scaling>
        <c:axPos val="b"/>
        <c:title>
          <c:tx>
            <c:rich>
              <a:bodyPr vert="horz" rot="0" anchor="ctr"/>
              <a:lstStyle/>
              <a:p>
                <a:pPr algn="ctr">
                  <a:defRPr/>
                </a:pPr>
                <a:r>
                  <a:rPr lang="en-US" cap="none" sz="1200" b="1" i="0" u="none" baseline="0">
                    <a:solidFill>
                      <a:srgbClr val="000000"/>
                    </a:solidFill>
                  </a:rPr>
                  <a:t>Debt/Value Ratio</a:t>
                </a:r>
              </a:p>
            </c:rich>
          </c:tx>
          <c:layout>
            <c:manualLayout>
              <c:xMode val="factor"/>
              <c:yMode val="factor"/>
              <c:x val="-0.0117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2824143"/>
        <c:crosses val="autoZero"/>
        <c:crossBetween val="midCat"/>
        <c:dispUnits/>
      </c:valAx>
      <c:valAx>
        <c:axId val="52824143"/>
        <c:scaling>
          <c:orientation val="minMax"/>
        </c:scaling>
        <c:axPos val="l"/>
        <c:title>
          <c:tx>
            <c:rich>
              <a:bodyPr vert="horz" rot="-5400000" anchor="ctr"/>
              <a:lstStyle/>
              <a:p>
                <a:pPr algn="ctr">
                  <a:defRPr/>
                </a:pPr>
                <a:r>
                  <a:rPr lang="en-US" cap="none" sz="1200" b="1" i="0" u="none" baseline="0">
                    <a:solidFill>
                      <a:srgbClr val="000000"/>
                    </a:solidFill>
                  </a:rPr>
                  <a:t>Cost of Capital</a:t>
                </a:r>
              </a:p>
            </c:rich>
          </c:tx>
          <c:layout>
            <c:manualLayout>
              <c:xMode val="factor"/>
              <c:yMode val="factor"/>
              <c:x val="-0.019"/>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782430"/>
        <c:crosses val="autoZero"/>
        <c:crossBetween val="midCat"/>
        <c:dispUnits/>
      </c:valAx>
      <c:spPr>
        <a:noFill/>
        <a:ln w="12700">
          <a:solidFill>
            <a:srgbClr val="808080"/>
          </a:solidFill>
        </a:ln>
      </c:spPr>
    </c:plotArea>
    <c:legend>
      <c:legendPos val="r"/>
      <c:layout>
        <c:manualLayout>
          <c:xMode val="edge"/>
          <c:yMode val="edge"/>
          <c:x val="0.76275"/>
          <c:y val="0.39525"/>
          <c:w val="0.23725"/>
          <c:h val="0.21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With Taxes</a:t>
            </a:r>
          </a:p>
        </c:rich>
      </c:tx>
      <c:layout>
        <c:manualLayout>
          <c:xMode val="factor"/>
          <c:yMode val="factor"/>
          <c:x val="-0.0025"/>
          <c:y val="0"/>
        </c:manualLayout>
      </c:layout>
      <c:spPr>
        <a:noFill/>
        <a:ln>
          <a:noFill/>
        </a:ln>
      </c:spPr>
    </c:title>
    <c:plotArea>
      <c:layout>
        <c:manualLayout>
          <c:xMode val="edge"/>
          <c:yMode val="edge"/>
          <c:x val="0.037"/>
          <c:y val="0.148"/>
          <c:w val="0.7815"/>
          <c:h val="0.788"/>
        </c:manualLayout>
      </c:layout>
      <c:scatterChart>
        <c:scatterStyle val="lineMarker"/>
        <c:varyColors val="0"/>
        <c:ser>
          <c:idx val="0"/>
          <c:order val="0"/>
          <c:tx>
            <c:strRef>
              <c:f>Chapter!$G$114</c:f>
              <c:strCache>
                <c:ptCount val="1"/>
                <c:pt idx="0">
                  <c:v>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Chapter!$D$115:$D$122</c:f>
              <c:numCache/>
            </c:numRef>
          </c:xVal>
          <c:yVal>
            <c:numRef>
              <c:f>Chapter!$G$115:$G$122</c:f>
              <c:numCache/>
            </c:numRef>
          </c:yVal>
          <c:smooth val="0"/>
        </c:ser>
        <c:ser>
          <c:idx val="1"/>
          <c:order val="1"/>
          <c:tx>
            <c:strRef>
              <c:f>Chapter!$H$114</c:f>
              <c:strCache>
                <c:ptCount val="1"/>
                <c:pt idx="0">
                  <c:v>WACC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Chapter!$D$115:$D$122</c:f>
              <c:numCache/>
            </c:numRef>
          </c:xVal>
          <c:yVal>
            <c:numRef>
              <c:f>Chapter!$H$115:$H$122</c:f>
              <c:numCache/>
            </c:numRef>
          </c:yVal>
          <c:smooth val="0"/>
        </c:ser>
        <c:ser>
          <c:idx val="2"/>
          <c:order val="2"/>
          <c:tx>
            <c:strRef>
              <c:f>Chapter!$F$114</c:f>
              <c:strCache>
                <c:ptCount val="1"/>
                <c:pt idx="0">
                  <c:v>rd x (1-T)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Chapter!$D$115:$D$122</c:f>
              <c:numCache/>
            </c:numRef>
          </c:xVal>
          <c:yVal>
            <c:numRef>
              <c:f>Chapter!$F$115:$F$122</c:f>
              <c:numCache/>
            </c:numRef>
          </c:yVal>
          <c:smooth val="0"/>
        </c:ser>
        <c:axId val="5655240"/>
        <c:axId val="50897161"/>
      </c:scatterChart>
      <c:valAx>
        <c:axId val="5655240"/>
        <c:scaling>
          <c:orientation val="minMax"/>
          <c:max val="1"/>
        </c:scaling>
        <c:axPos val="b"/>
        <c:title>
          <c:tx>
            <c:rich>
              <a:bodyPr vert="horz" rot="0" anchor="ctr"/>
              <a:lstStyle/>
              <a:p>
                <a:pPr algn="ctr">
                  <a:defRPr/>
                </a:pPr>
                <a:r>
                  <a:rPr lang="en-US" cap="none" sz="950" b="1" i="0" u="none" baseline="0">
                    <a:solidFill>
                      <a:srgbClr val="000000"/>
                    </a:solidFill>
                  </a:rPr>
                  <a:t>Debt/Value Ratio</a:t>
                </a:r>
              </a:p>
            </c:rich>
          </c:tx>
          <c:layout>
            <c:manualLayout>
              <c:xMode val="factor"/>
              <c:yMode val="factor"/>
              <c:x val="-0.0097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0897161"/>
        <c:crosses val="autoZero"/>
        <c:crossBetween val="midCat"/>
        <c:dispUnits/>
      </c:valAx>
      <c:valAx>
        <c:axId val="50897161"/>
        <c:scaling>
          <c:orientation val="minMax"/>
        </c:scaling>
        <c:axPos val="l"/>
        <c:title>
          <c:tx>
            <c:rich>
              <a:bodyPr vert="horz" rot="-5400000" anchor="ctr"/>
              <a:lstStyle/>
              <a:p>
                <a:pPr algn="ctr">
                  <a:defRPr/>
                </a:pPr>
                <a:r>
                  <a:rPr lang="en-US" cap="none" sz="950" b="1" i="0" u="none" baseline="0">
                    <a:solidFill>
                      <a:srgbClr val="000000"/>
                    </a:solidFill>
                  </a:rPr>
                  <a:t>Cost of Capital</a:t>
                </a:r>
              </a:p>
            </c:rich>
          </c:tx>
          <c:layout>
            <c:manualLayout>
              <c:xMode val="factor"/>
              <c:yMode val="factor"/>
              <c:x val="-0.01325"/>
              <c:y val="0"/>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655240"/>
        <c:crosses val="autoZero"/>
        <c:crossBetween val="midCat"/>
        <c:dispUnits/>
      </c:valAx>
      <c:spPr>
        <a:noFill/>
        <a:ln w="12700">
          <a:solidFill>
            <a:srgbClr val="808080"/>
          </a:solidFill>
        </a:ln>
      </c:spPr>
    </c:plotArea>
    <c:legend>
      <c:legendPos val="r"/>
      <c:layout>
        <c:manualLayout>
          <c:xMode val="edge"/>
          <c:yMode val="edge"/>
          <c:x val="0.695"/>
          <c:y val="0.0035"/>
          <c:w val="0.305"/>
          <c:h val="0.2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10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31</xdr:row>
      <xdr:rowOff>76200</xdr:rowOff>
    </xdr:from>
    <xdr:to>
      <xdr:col>3</xdr:col>
      <xdr:colOff>695325</xdr:colOff>
      <xdr:row>31</xdr:row>
      <xdr:rowOff>76200</xdr:rowOff>
    </xdr:to>
    <xdr:sp>
      <xdr:nvSpPr>
        <xdr:cNvPr id="1" name="Line 26"/>
        <xdr:cNvSpPr>
          <a:spLocks/>
        </xdr:cNvSpPr>
      </xdr:nvSpPr>
      <xdr:spPr>
        <a:xfrm flipH="1">
          <a:off x="2305050" y="55054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33</xdr:row>
      <xdr:rowOff>76200</xdr:rowOff>
    </xdr:from>
    <xdr:to>
      <xdr:col>3</xdr:col>
      <xdr:colOff>695325</xdr:colOff>
      <xdr:row>33</xdr:row>
      <xdr:rowOff>76200</xdr:rowOff>
    </xdr:to>
    <xdr:sp>
      <xdr:nvSpPr>
        <xdr:cNvPr id="2" name="Line 27"/>
        <xdr:cNvSpPr>
          <a:spLocks/>
        </xdr:cNvSpPr>
      </xdr:nvSpPr>
      <xdr:spPr>
        <a:xfrm flipH="1">
          <a:off x="2305050" y="58578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390525</xdr:colOff>
      <xdr:row>45</xdr:row>
      <xdr:rowOff>0</xdr:rowOff>
    </xdr:from>
    <xdr:to>
      <xdr:col>7</xdr:col>
      <xdr:colOff>571500</xdr:colOff>
      <xdr:row>52</xdr:row>
      <xdr:rowOff>57150</xdr:rowOff>
    </xdr:to>
    <xdr:sp>
      <xdr:nvSpPr>
        <xdr:cNvPr id="3" name="Text Box 30"/>
        <xdr:cNvSpPr txBox="1">
          <a:spLocks noChangeArrowheads="1"/>
        </xdr:cNvSpPr>
      </xdr:nvSpPr>
      <xdr:spPr>
        <a:xfrm>
          <a:off x="2686050" y="7762875"/>
          <a:ext cx="3343275" cy="1190625"/>
        </a:xfrm>
        <a:prstGeom prst="rect">
          <a:avLst/>
        </a:prstGeom>
        <a:solidFill>
          <a:srgbClr val="CCFFFF"/>
        </a:solidFill>
        <a:ln w="222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Notice that for the same $600,000 investment, you can get $7,500 more in annual income by forming your own portfolio of U and "home made debt" than you get from an investment in L.  MM argue that this won't persist--that investors would buy U and purchase the portfolio, driving up the price of U.  At the same time, they would sell their shares of L, driving down its price.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5</xdr:col>
      <xdr:colOff>9525</xdr:colOff>
      <xdr:row>77</xdr:row>
      <xdr:rowOff>66675</xdr:rowOff>
    </xdr:from>
    <xdr:to>
      <xdr:col>5</xdr:col>
      <xdr:colOff>733425</xdr:colOff>
      <xdr:row>77</xdr:row>
      <xdr:rowOff>66675</xdr:rowOff>
    </xdr:to>
    <xdr:sp>
      <xdr:nvSpPr>
        <xdr:cNvPr id="4" name="Line 37"/>
        <xdr:cNvSpPr>
          <a:spLocks/>
        </xdr:cNvSpPr>
      </xdr:nvSpPr>
      <xdr:spPr>
        <a:xfrm flipH="1" flipV="1">
          <a:off x="3981450" y="131826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75</xdr:row>
      <xdr:rowOff>85725</xdr:rowOff>
    </xdr:from>
    <xdr:to>
      <xdr:col>5</xdr:col>
      <xdr:colOff>704850</xdr:colOff>
      <xdr:row>75</xdr:row>
      <xdr:rowOff>85725</xdr:rowOff>
    </xdr:to>
    <xdr:sp>
      <xdr:nvSpPr>
        <xdr:cNvPr id="5" name="Line 38"/>
        <xdr:cNvSpPr>
          <a:spLocks/>
        </xdr:cNvSpPr>
      </xdr:nvSpPr>
      <xdr:spPr>
        <a:xfrm flipH="1">
          <a:off x="3990975" y="128492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72</xdr:row>
      <xdr:rowOff>95250</xdr:rowOff>
    </xdr:from>
    <xdr:to>
      <xdr:col>5</xdr:col>
      <xdr:colOff>685800</xdr:colOff>
      <xdr:row>72</xdr:row>
      <xdr:rowOff>95250</xdr:rowOff>
    </xdr:to>
    <xdr:sp>
      <xdr:nvSpPr>
        <xdr:cNvPr id="6" name="Line 39"/>
        <xdr:cNvSpPr>
          <a:spLocks/>
        </xdr:cNvSpPr>
      </xdr:nvSpPr>
      <xdr:spPr>
        <a:xfrm flipH="1">
          <a:off x="3990975" y="123444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78</xdr:row>
      <xdr:rowOff>95250</xdr:rowOff>
    </xdr:from>
    <xdr:to>
      <xdr:col>5</xdr:col>
      <xdr:colOff>733425</xdr:colOff>
      <xdr:row>78</xdr:row>
      <xdr:rowOff>95250</xdr:rowOff>
    </xdr:to>
    <xdr:sp>
      <xdr:nvSpPr>
        <xdr:cNvPr id="7" name="Line 40"/>
        <xdr:cNvSpPr>
          <a:spLocks/>
        </xdr:cNvSpPr>
      </xdr:nvSpPr>
      <xdr:spPr>
        <a:xfrm flipH="1" flipV="1">
          <a:off x="3981450" y="133826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166</xdr:row>
      <xdr:rowOff>66675</xdr:rowOff>
    </xdr:from>
    <xdr:to>
      <xdr:col>2</xdr:col>
      <xdr:colOff>676275</xdr:colOff>
      <xdr:row>166</xdr:row>
      <xdr:rowOff>66675</xdr:rowOff>
    </xdr:to>
    <xdr:sp>
      <xdr:nvSpPr>
        <xdr:cNvPr id="8" name="Line 48"/>
        <xdr:cNvSpPr>
          <a:spLocks/>
        </xdr:cNvSpPr>
      </xdr:nvSpPr>
      <xdr:spPr>
        <a:xfrm flipH="1" flipV="1">
          <a:off x="1590675" y="2790825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161925</xdr:colOff>
      <xdr:row>90</xdr:row>
      <xdr:rowOff>133350</xdr:rowOff>
    </xdr:from>
    <xdr:to>
      <xdr:col>4</xdr:col>
      <xdr:colOff>676275</xdr:colOff>
      <xdr:row>108</xdr:row>
      <xdr:rowOff>123825</xdr:rowOff>
    </xdr:to>
    <xdr:graphicFrame>
      <xdr:nvGraphicFramePr>
        <xdr:cNvPr id="9" name="Chart 49"/>
        <xdr:cNvGraphicFramePr/>
      </xdr:nvGraphicFramePr>
      <xdr:xfrm>
        <a:off x="161925" y="15468600"/>
        <a:ext cx="3657600" cy="29051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125</xdr:row>
      <xdr:rowOff>19050</xdr:rowOff>
    </xdr:from>
    <xdr:to>
      <xdr:col>5</xdr:col>
      <xdr:colOff>85725</xdr:colOff>
      <xdr:row>142</xdr:row>
      <xdr:rowOff>142875</xdr:rowOff>
    </xdr:to>
    <xdr:graphicFrame>
      <xdr:nvGraphicFramePr>
        <xdr:cNvPr id="10" name="Chart 50"/>
        <xdr:cNvGraphicFramePr/>
      </xdr:nvGraphicFramePr>
      <xdr:xfrm>
        <a:off x="66675" y="21078825"/>
        <a:ext cx="3990975" cy="2876550"/>
      </xdr:xfrm>
      <a:graphic>
        <a:graphicData uri="http://schemas.openxmlformats.org/drawingml/2006/chart">
          <c:chart xmlns:c="http://schemas.openxmlformats.org/drawingml/2006/chart" r:id="rId2"/>
        </a:graphicData>
      </a:graphic>
    </xdr:graphicFrame>
    <xdr:clientData/>
  </xdr:twoCellAnchor>
  <xdr:twoCellAnchor>
    <xdr:from>
      <xdr:col>4</xdr:col>
      <xdr:colOff>600075</xdr:colOff>
      <xdr:row>43</xdr:row>
      <xdr:rowOff>38100</xdr:rowOff>
    </xdr:from>
    <xdr:to>
      <xdr:col>5</xdr:col>
      <xdr:colOff>152400</xdr:colOff>
      <xdr:row>44</xdr:row>
      <xdr:rowOff>76200</xdr:rowOff>
    </xdr:to>
    <xdr:sp>
      <xdr:nvSpPr>
        <xdr:cNvPr id="11" name="Line 69"/>
        <xdr:cNvSpPr>
          <a:spLocks/>
        </xdr:cNvSpPr>
      </xdr:nvSpPr>
      <xdr:spPr>
        <a:xfrm flipH="1" flipV="1">
          <a:off x="3743325" y="7477125"/>
          <a:ext cx="38100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43</xdr:row>
      <xdr:rowOff>38100</xdr:rowOff>
    </xdr:from>
    <xdr:to>
      <xdr:col>5</xdr:col>
      <xdr:colOff>447675</xdr:colOff>
      <xdr:row>44</xdr:row>
      <xdr:rowOff>85725</xdr:rowOff>
    </xdr:to>
    <xdr:sp>
      <xdr:nvSpPr>
        <xdr:cNvPr id="12" name="Line 72"/>
        <xdr:cNvSpPr>
          <a:spLocks/>
        </xdr:cNvSpPr>
      </xdr:nvSpPr>
      <xdr:spPr>
        <a:xfrm flipV="1">
          <a:off x="4248150" y="7477125"/>
          <a:ext cx="1714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212</xdr:row>
      <xdr:rowOff>85725</xdr:rowOff>
    </xdr:from>
    <xdr:to>
      <xdr:col>2</xdr:col>
      <xdr:colOff>742950</xdr:colOff>
      <xdr:row>212</xdr:row>
      <xdr:rowOff>85725</xdr:rowOff>
    </xdr:to>
    <xdr:sp>
      <xdr:nvSpPr>
        <xdr:cNvPr id="13" name="Line 78"/>
        <xdr:cNvSpPr>
          <a:spLocks/>
        </xdr:cNvSpPr>
      </xdr:nvSpPr>
      <xdr:spPr>
        <a:xfrm flipH="1" flipV="1">
          <a:off x="1562100" y="354901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28575</xdr:colOff>
      <xdr:row>210</xdr:row>
      <xdr:rowOff>95250</xdr:rowOff>
    </xdr:from>
    <xdr:to>
      <xdr:col>2</xdr:col>
      <xdr:colOff>714375</xdr:colOff>
      <xdr:row>210</xdr:row>
      <xdr:rowOff>95250</xdr:rowOff>
    </xdr:to>
    <xdr:sp>
      <xdr:nvSpPr>
        <xdr:cNvPr id="14" name="Line 79"/>
        <xdr:cNvSpPr>
          <a:spLocks/>
        </xdr:cNvSpPr>
      </xdr:nvSpPr>
      <xdr:spPr>
        <a:xfrm flipH="1">
          <a:off x="1571625" y="3516630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28575</xdr:colOff>
      <xdr:row>206</xdr:row>
      <xdr:rowOff>85725</xdr:rowOff>
    </xdr:from>
    <xdr:to>
      <xdr:col>2</xdr:col>
      <xdr:colOff>695325</xdr:colOff>
      <xdr:row>206</xdr:row>
      <xdr:rowOff>85725</xdr:rowOff>
    </xdr:to>
    <xdr:sp>
      <xdr:nvSpPr>
        <xdr:cNvPr id="15" name="Line 80"/>
        <xdr:cNvSpPr>
          <a:spLocks/>
        </xdr:cNvSpPr>
      </xdr:nvSpPr>
      <xdr:spPr>
        <a:xfrm flipH="1">
          <a:off x="1571625" y="344805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214</xdr:row>
      <xdr:rowOff>57150</xdr:rowOff>
    </xdr:from>
    <xdr:to>
      <xdr:col>2</xdr:col>
      <xdr:colOff>742950</xdr:colOff>
      <xdr:row>214</xdr:row>
      <xdr:rowOff>57150</xdr:rowOff>
    </xdr:to>
    <xdr:sp>
      <xdr:nvSpPr>
        <xdr:cNvPr id="16" name="Line 81"/>
        <xdr:cNvSpPr>
          <a:spLocks/>
        </xdr:cNvSpPr>
      </xdr:nvSpPr>
      <xdr:spPr>
        <a:xfrm flipH="1" flipV="1">
          <a:off x="1562100" y="358140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771525</xdr:colOff>
      <xdr:row>437</xdr:row>
      <xdr:rowOff>114300</xdr:rowOff>
    </xdr:from>
    <xdr:to>
      <xdr:col>4</xdr:col>
      <xdr:colOff>647700</xdr:colOff>
      <xdr:row>437</xdr:row>
      <xdr:rowOff>114300</xdr:rowOff>
    </xdr:to>
    <xdr:sp>
      <xdr:nvSpPr>
        <xdr:cNvPr id="17" name="Line 82"/>
        <xdr:cNvSpPr>
          <a:spLocks/>
        </xdr:cNvSpPr>
      </xdr:nvSpPr>
      <xdr:spPr>
        <a:xfrm flipH="1" flipV="1">
          <a:off x="3067050" y="723328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218</xdr:row>
      <xdr:rowOff>95250</xdr:rowOff>
    </xdr:from>
    <xdr:to>
      <xdr:col>2</xdr:col>
      <xdr:colOff>742950</xdr:colOff>
      <xdr:row>218</xdr:row>
      <xdr:rowOff>95250</xdr:rowOff>
    </xdr:to>
    <xdr:sp>
      <xdr:nvSpPr>
        <xdr:cNvPr id="18" name="Line 83"/>
        <xdr:cNvSpPr>
          <a:spLocks/>
        </xdr:cNvSpPr>
      </xdr:nvSpPr>
      <xdr:spPr>
        <a:xfrm flipH="1" flipV="1">
          <a:off x="1562100" y="365474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216</xdr:row>
      <xdr:rowOff>66675</xdr:rowOff>
    </xdr:from>
    <xdr:to>
      <xdr:col>2</xdr:col>
      <xdr:colOff>733425</xdr:colOff>
      <xdr:row>216</xdr:row>
      <xdr:rowOff>66675</xdr:rowOff>
    </xdr:to>
    <xdr:sp>
      <xdr:nvSpPr>
        <xdr:cNvPr id="19" name="Line 84"/>
        <xdr:cNvSpPr>
          <a:spLocks/>
        </xdr:cNvSpPr>
      </xdr:nvSpPr>
      <xdr:spPr>
        <a:xfrm flipH="1" flipV="1">
          <a:off x="1552575" y="361569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217</xdr:row>
      <xdr:rowOff>85725</xdr:rowOff>
    </xdr:from>
    <xdr:to>
      <xdr:col>2</xdr:col>
      <xdr:colOff>733425</xdr:colOff>
      <xdr:row>217</xdr:row>
      <xdr:rowOff>85725</xdr:rowOff>
    </xdr:to>
    <xdr:sp>
      <xdr:nvSpPr>
        <xdr:cNvPr id="20" name="Line 85"/>
        <xdr:cNvSpPr>
          <a:spLocks/>
        </xdr:cNvSpPr>
      </xdr:nvSpPr>
      <xdr:spPr>
        <a:xfrm flipH="1" flipV="1">
          <a:off x="1552575" y="363474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4"/>
  <sheetViews>
    <sheetView tabSelected="1" zoomScale="115" zoomScaleNormal="115" zoomScaleSheetLayoutView="100" zoomScalePageLayoutView="0" workbookViewId="0" topLeftCell="A1">
      <selection activeCell="A1" sqref="A1"/>
    </sheetView>
  </sheetViews>
  <sheetFormatPr defaultColWidth="9.33203125" defaultRowHeight="12.75"/>
  <cols>
    <col min="1" max="1" width="13.33203125" style="1" customWidth="1"/>
    <col min="2" max="2" width="13.66015625" style="1" customWidth="1"/>
    <col min="3" max="3" width="13.16015625" style="1" customWidth="1"/>
    <col min="4" max="4" width="14.83203125" style="1" customWidth="1"/>
    <col min="5" max="5" width="14.5" style="1" customWidth="1"/>
    <col min="6" max="6" width="13.16015625" style="1" customWidth="1"/>
    <col min="7" max="7" width="12.83203125" style="1" customWidth="1"/>
    <col min="8" max="8" width="13" style="1" customWidth="1"/>
    <col min="9" max="9" width="12.66015625" style="1" customWidth="1"/>
    <col min="10" max="10" width="9.5" style="1" bestFit="1" customWidth="1"/>
    <col min="11" max="11" width="12.83203125" style="1" customWidth="1"/>
    <col min="12" max="12" width="13" style="1" customWidth="1"/>
    <col min="13" max="13" width="13.16015625" style="1" customWidth="1"/>
    <col min="14" max="16384" width="9.33203125" style="1" customWidth="1"/>
  </cols>
  <sheetData>
    <row r="1" spans="1:8" ht="12.75">
      <c r="A1" s="113"/>
      <c r="E1" s="10"/>
      <c r="H1" s="5">
        <v>39083</v>
      </c>
    </row>
    <row r="2" spans="5:9" ht="12.75">
      <c r="E2" s="6"/>
      <c r="I2" s="5"/>
    </row>
    <row r="3" spans="1:9" ht="15.75">
      <c r="A3" s="190" t="s">
        <v>134</v>
      </c>
      <c r="B3" s="191"/>
      <c r="C3" s="191"/>
      <c r="D3" s="191"/>
      <c r="E3" s="191"/>
      <c r="F3" s="191"/>
      <c r="G3" s="191"/>
      <c r="H3" s="191"/>
      <c r="I3" s="191"/>
    </row>
    <row r="4" ht="12.75"/>
    <row r="5" spans="1:7" ht="12.75" customHeight="1">
      <c r="A5" s="181"/>
      <c r="B5" s="181"/>
      <c r="C5" s="181"/>
      <c r="D5" s="181"/>
      <c r="E5" s="181"/>
      <c r="F5" s="181"/>
      <c r="G5" s="181"/>
    </row>
    <row r="6" spans="1:7" ht="12.75">
      <c r="A6" s="181"/>
      <c r="B6" s="181"/>
      <c r="C6" s="181"/>
      <c r="D6" s="181"/>
      <c r="E6" s="181"/>
      <c r="F6" s="181"/>
      <c r="G6" s="181"/>
    </row>
    <row r="7" spans="1:8" ht="29.25" customHeight="1">
      <c r="A7" s="203" t="s">
        <v>149</v>
      </c>
      <c r="B7" s="203"/>
      <c r="C7" s="203"/>
      <c r="D7" s="203"/>
      <c r="E7" s="203"/>
      <c r="F7" s="203"/>
      <c r="G7" s="203"/>
      <c r="H7" s="203"/>
    </row>
    <row r="8" spans="2:5" ht="12.75">
      <c r="B8" s="7"/>
      <c r="C8" s="7"/>
      <c r="D8" s="7"/>
      <c r="E8" s="7"/>
    </row>
    <row r="9" ht="14.25">
      <c r="A9" s="8" t="s">
        <v>7</v>
      </c>
    </row>
    <row r="10" spans="1:7" ht="12.75">
      <c r="A10" s="200" t="s">
        <v>123</v>
      </c>
      <c r="B10" s="200"/>
      <c r="C10" s="200"/>
      <c r="D10" s="200"/>
      <c r="E10" s="200"/>
      <c r="F10" s="200"/>
      <c r="G10" s="200"/>
    </row>
    <row r="11" spans="1:7" ht="12.75">
      <c r="A11" s="200"/>
      <c r="B11" s="200"/>
      <c r="C11" s="200"/>
      <c r="D11" s="200"/>
      <c r="E11" s="200"/>
      <c r="F11" s="200"/>
      <c r="G11" s="200"/>
    </row>
    <row r="12" ht="12.75"/>
    <row r="13" ht="12.75">
      <c r="A13" s="4" t="s">
        <v>10</v>
      </c>
    </row>
    <row r="14" ht="12.75">
      <c r="A14" s="4" t="s">
        <v>8</v>
      </c>
    </row>
    <row r="15" ht="12.75">
      <c r="A15" s="4" t="s">
        <v>11</v>
      </c>
    </row>
    <row r="16" ht="12.75"/>
    <row r="17" ht="12.75">
      <c r="A17" s="4" t="s">
        <v>9</v>
      </c>
    </row>
    <row r="18" ht="14.25">
      <c r="A18" s="4" t="s">
        <v>63</v>
      </c>
    </row>
    <row r="21" ht="14.25">
      <c r="A21" s="8" t="s">
        <v>62</v>
      </c>
    </row>
    <row r="22" ht="14.25">
      <c r="A22" s="4" t="s">
        <v>64</v>
      </c>
    </row>
    <row r="23" ht="15" thickBot="1">
      <c r="A23" s="8"/>
    </row>
    <row r="24" spans="1:3" ht="12.75">
      <c r="A24" s="15" t="s">
        <v>5</v>
      </c>
      <c r="B24" s="25" t="s">
        <v>12</v>
      </c>
      <c r="C24" s="25" t="s">
        <v>13</v>
      </c>
    </row>
    <row r="25" spans="1:3" ht="13.5" thickBot="1">
      <c r="A25" s="16"/>
      <c r="B25" s="26" t="s">
        <v>14</v>
      </c>
      <c r="C25" s="26" t="s">
        <v>15</v>
      </c>
    </row>
    <row r="26" spans="1:3" ht="12.75">
      <c r="A26" s="13" t="s">
        <v>2</v>
      </c>
      <c r="B26" s="27">
        <v>900000</v>
      </c>
      <c r="C26" s="27">
        <v>900000</v>
      </c>
    </row>
    <row r="27" spans="1:3" ht="12.75">
      <c r="A27" s="14" t="s">
        <v>3</v>
      </c>
      <c r="B27" s="28">
        <v>0</v>
      </c>
      <c r="C27" s="28">
        <v>4000000</v>
      </c>
    </row>
    <row r="28" spans="1:3" ht="14.25">
      <c r="A28" s="114" t="s">
        <v>65</v>
      </c>
      <c r="B28" s="29" t="s">
        <v>16</v>
      </c>
      <c r="C28" s="30">
        <v>0.075</v>
      </c>
    </row>
    <row r="29" spans="1:3" ht="14.25">
      <c r="A29" s="114" t="s">
        <v>66</v>
      </c>
      <c r="B29" s="31">
        <v>0.1</v>
      </c>
      <c r="C29" s="32">
        <v>0.1</v>
      </c>
    </row>
    <row r="30" spans="1:3" ht="13.5" thickBot="1">
      <c r="A30" s="14"/>
      <c r="B30" s="33"/>
      <c r="C30" s="33"/>
    </row>
    <row r="31" spans="1:3" ht="12.75">
      <c r="A31" s="17" t="s">
        <v>17</v>
      </c>
      <c r="B31" s="17"/>
      <c r="C31" s="17"/>
    </row>
    <row r="32" spans="1:5" ht="15" thickBot="1">
      <c r="A32" s="18" t="s">
        <v>18</v>
      </c>
      <c r="B32" s="19">
        <f>(B26)/B29</f>
        <v>9000000</v>
      </c>
      <c r="C32" s="19">
        <f>(C26-C27*C28)/C29</f>
        <v>6000000</v>
      </c>
      <c r="E32" s="1" t="s">
        <v>67</v>
      </c>
    </row>
    <row r="33" spans="1:3" ht="12.75">
      <c r="A33" s="20" t="s">
        <v>19</v>
      </c>
      <c r="B33" s="21"/>
      <c r="C33" s="21"/>
    </row>
    <row r="34" spans="1:5" ht="13.5" thickBot="1">
      <c r="A34" s="22" t="s">
        <v>20</v>
      </c>
      <c r="B34" s="23">
        <f>B32+B27</f>
        <v>9000000</v>
      </c>
      <c r="C34" s="24">
        <f>C32+C27</f>
        <v>10000000</v>
      </c>
      <c r="E34" s="1" t="s">
        <v>35</v>
      </c>
    </row>
    <row r="36" spans="1:7" ht="12.75">
      <c r="A36" s="200" t="s">
        <v>124</v>
      </c>
      <c r="B36" s="200"/>
      <c r="C36" s="200"/>
      <c r="D36" s="200"/>
      <c r="E36" s="200"/>
      <c r="F36" s="200"/>
      <c r="G36" s="200"/>
    </row>
    <row r="37" spans="1:7" ht="12.75">
      <c r="A37" s="200"/>
      <c r="B37" s="200"/>
      <c r="C37" s="200"/>
      <c r="D37" s="200"/>
      <c r="E37" s="200"/>
      <c r="F37" s="200"/>
      <c r="G37" s="200"/>
    </row>
    <row r="38" ht="13.5" thickBot="1"/>
    <row r="39" spans="1:6" ht="12.75">
      <c r="A39" s="98"/>
      <c r="B39" s="98"/>
      <c r="C39" s="98" t="s">
        <v>32</v>
      </c>
      <c r="D39" s="99" t="s">
        <v>26</v>
      </c>
      <c r="E39" s="99" t="s">
        <v>29</v>
      </c>
      <c r="F39" s="98"/>
    </row>
    <row r="40" spans="1:6" ht="12.75">
      <c r="A40" s="100"/>
      <c r="B40" s="101" t="s">
        <v>25</v>
      </c>
      <c r="C40" s="101" t="s">
        <v>33</v>
      </c>
      <c r="D40" s="101" t="s">
        <v>27</v>
      </c>
      <c r="E40" s="101" t="s">
        <v>30</v>
      </c>
      <c r="F40" s="101" t="s">
        <v>25</v>
      </c>
    </row>
    <row r="41" spans="1:6" ht="13.5" thickBot="1">
      <c r="A41" s="102"/>
      <c r="B41" s="103" t="s">
        <v>22</v>
      </c>
      <c r="C41" s="103" t="s">
        <v>24</v>
      </c>
      <c r="D41" s="103" t="s">
        <v>28</v>
      </c>
      <c r="E41" s="101" t="s">
        <v>31</v>
      </c>
      <c r="F41" s="101" t="s">
        <v>21</v>
      </c>
    </row>
    <row r="42" spans="1:6" ht="12.75">
      <c r="A42" s="36" t="s">
        <v>23</v>
      </c>
      <c r="B42" s="34">
        <f>0.1*B32</f>
        <v>900000</v>
      </c>
      <c r="C42" s="34">
        <f>-0.1*C27</f>
        <v>-400000</v>
      </c>
      <c r="D42" s="38">
        <f>100000</f>
        <v>100000</v>
      </c>
      <c r="E42" s="34">
        <f>B42+C42+D42</f>
        <v>600000</v>
      </c>
      <c r="F42" s="11">
        <f>0.1*C32</f>
        <v>600000</v>
      </c>
    </row>
    <row r="43" spans="1:6" ht="13.5" thickBot="1">
      <c r="A43" s="37" t="s">
        <v>1</v>
      </c>
      <c r="B43" s="35">
        <f>0.1*B26</f>
        <v>90000</v>
      </c>
      <c r="C43" s="35">
        <f>C28*C42</f>
        <v>-30000</v>
      </c>
      <c r="D43" s="39">
        <f>D42*C28</f>
        <v>7500</v>
      </c>
      <c r="E43" s="35">
        <f>B43+C43+D43</f>
        <v>67500</v>
      </c>
      <c r="F43" s="12">
        <f>0.1*(C26-C28*C27)</f>
        <v>60000</v>
      </c>
    </row>
    <row r="51" spans="6:9" ht="12.75">
      <c r="F51" s="2"/>
      <c r="I51" s="3"/>
    </row>
    <row r="52" spans="6:9" ht="12.75">
      <c r="F52" s="2"/>
      <c r="I52" s="3"/>
    </row>
    <row r="53" spans="6:9" ht="12.75">
      <c r="F53" s="2"/>
      <c r="I53" s="3"/>
    </row>
    <row r="54" spans="1:9" ht="14.25" customHeight="1">
      <c r="A54" s="200" t="s">
        <v>125</v>
      </c>
      <c r="B54" s="200"/>
      <c r="C54" s="200"/>
      <c r="D54" s="200"/>
      <c r="E54" s="200"/>
      <c r="F54" s="200"/>
      <c r="G54" s="200"/>
      <c r="I54" s="3"/>
    </row>
    <row r="55" spans="1:9" ht="12.75">
      <c r="A55" s="200"/>
      <c r="B55" s="200"/>
      <c r="C55" s="200"/>
      <c r="D55" s="200"/>
      <c r="E55" s="200"/>
      <c r="F55" s="200"/>
      <c r="G55" s="200"/>
      <c r="I55" s="3"/>
    </row>
    <row r="56" spans="1:9" ht="12.75">
      <c r="A56" s="200"/>
      <c r="B56" s="200"/>
      <c r="C56" s="200"/>
      <c r="D56" s="200"/>
      <c r="E56" s="200"/>
      <c r="F56" s="200"/>
      <c r="G56" s="200"/>
      <c r="I56" s="3"/>
    </row>
    <row r="57" spans="1:9" ht="12.75">
      <c r="A57" s="4"/>
      <c r="F57" s="2"/>
      <c r="I57" s="3"/>
    </row>
    <row r="58" spans="1:9" ht="14.25">
      <c r="A58" s="8" t="s">
        <v>34</v>
      </c>
      <c r="F58" s="2"/>
      <c r="I58" s="3"/>
    </row>
    <row r="59" spans="1:9" ht="12.75">
      <c r="A59" s="4" t="s">
        <v>36</v>
      </c>
      <c r="F59" s="2"/>
      <c r="I59" s="3"/>
    </row>
    <row r="60" spans="1:9" ht="12.75">
      <c r="A60" s="4"/>
      <c r="F60" s="2"/>
      <c r="I60" s="3"/>
    </row>
    <row r="61" spans="1:9" ht="12.75">
      <c r="A61" s="4" t="s">
        <v>37</v>
      </c>
      <c r="F61" s="2"/>
      <c r="I61" s="3"/>
    </row>
    <row r="62" spans="1:9" ht="14.25">
      <c r="A62" s="4" t="s">
        <v>58</v>
      </c>
      <c r="F62" s="2"/>
      <c r="I62" s="3"/>
    </row>
    <row r="63" spans="6:9" ht="12.75">
      <c r="F63" s="2"/>
      <c r="I63" s="3"/>
    </row>
    <row r="64" spans="1:9" ht="12.75">
      <c r="A64" s="4" t="s">
        <v>38</v>
      </c>
      <c r="F64" s="2"/>
      <c r="I64" s="3"/>
    </row>
    <row r="65" spans="1:9" ht="12.75">
      <c r="A65" s="4" t="s">
        <v>39</v>
      </c>
      <c r="F65" s="2"/>
      <c r="I65" s="3"/>
    </row>
    <row r="66" spans="1:9" ht="14.25">
      <c r="A66" s="119" t="s">
        <v>74</v>
      </c>
      <c r="F66" s="2"/>
      <c r="I66" s="3"/>
    </row>
    <row r="67" spans="1:9" ht="13.5" thickBot="1">
      <c r="A67" s="4"/>
      <c r="F67" s="2"/>
      <c r="I67" s="3"/>
    </row>
    <row r="68" spans="1:9" ht="12.75">
      <c r="A68" s="15" t="s">
        <v>41</v>
      </c>
      <c r="B68" s="40" t="s">
        <v>42</v>
      </c>
      <c r="C68" s="25" t="s">
        <v>42</v>
      </c>
      <c r="D68" s="25" t="s">
        <v>43</v>
      </c>
      <c r="E68" s="25" t="s">
        <v>43</v>
      </c>
      <c r="F68" s="2"/>
      <c r="I68" s="3"/>
    </row>
    <row r="69" spans="1:9" ht="13.5" thickBot="1">
      <c r="A69" s="42" t="s">
        <v>40</v>
      </c>
      <c r="B69" s="41" t="s">
        <v>14</v>
      </c>
      <c r="C69" s="26" t="s">
        <v>15</v>
      </c>
      <c r="D69" s="26" t="s">
        <v>14</v>
      </c>
      <c r="E69" s="26" t="s">
        <v>15</v>
      </c>
      <c r="F69" s="2"/>
      <c r="I69" s="3"/>
    </row>
    <row r="70" spans="1:9" ht="12.75">
      <c r="A70" s="14" t="s">
        <v>2</v>
      </c>
      <c r="B70" s="27">
        <v>2400000</v>
      </c>
      <c r="C70" s="27">
        <f>B70</f>
        <v>2400000</v>
      </c>
      <c r="D70" s="27">
        <v>4000000</v>
      </c>
      <c r="E70" s="27">
        <f>D70</f>
        <v>4000000</v>
      </c>
      <c r="F70" s="2"/>
      <c r="I70" s="3"/>
    </row>
    <row r="71" spans="1:9" ht="12.75">
      <c r="A71" s="14" t="s">
        <v>3</v>
      </c>
      <c r="B71" s="28">
        <v>0</v>
      </c>
      <c r="C71" s="28">
        <v>10000000</v>
      </c>
      <c r="D71" s="28">
        <v>0</v>
      </c>
      <c r="E71" s="28">
        <v>10000000</v>
      </c>
      <c r="F71" s="2"/>
      <c r="I71" s="3"/>
    </row>
    <row r="72" spans="1:9" ht="14.25">
      <c r="A72" s="117" t="s">
        <v>71</v>
      </c>
      <c r="B72" s="29" t="s">
        <v>16</v>
      </c>
      <c r="C72" s="30">
        <v>0.08</v>
      </c>
      <c r="D72" s="30">
        <v>0.08</v>
      </c>
      <c r="E72" s="30">
        <v>0.08</v>
      </c>
      <c r="F72" s="2"/>
      <c r="I72" s="3"/>
    </row>
    <row r="73" spans="1:10" ht="14.25">
      <c r="A73" s="117" t="s">
        <v>72</v>
      </c>
      <c r="B73" s="45">
        <v>0.12</v>
      </c>
      <c r="C73" s="44">
        <f>$B$73+($B$73-C72)*(1-C74)*(C71/(C78-C71))</f>
        <v>0.15999999999999998</v>
      </c>
      <c r="D73" s="44">
        <v>0.12</v>
      </c>
      <c r="E73" s="44">
        <f>$B$73+($B$73-E72)*(1-E74)*(E71/(E78-E71))</f>
        <v>0.13714285714285712</v>
      </c>
      <c r="F73" s="2"/>
      <c r="G73" s="118" t="s">
        <v>73</v>
      </c>
      <c r="H73" s="104"/>
      <c r="I73" s="104"/>
      <c r="J73" s="104"/>
    </row>
    <row r="74" spans="1:10" ht="13.5" thickBot="1">
      <c r="A74" s="14" t="s">
        <v>0</v>
      </c>
      <c r="B74" s="43">
        <v>0</v>
      </c>
      <c r="C74" s="43">
        <v>0</v>
      </c>
      <c r="D74" s="43">
        <v>0.4</v>
      </c>
      <c r="E74" s="43">
        <v>0.4</v>
      </c>
      <c r="F74" s="2"/>
      <c r="G74" s="104"/>
      <c r="H74" s="104"/>
      <c r="I74" s="104"/>
      <c r="J74" s="104"/>
    </row>
    <row r="75" spans="1:10" ht="12.75">
      <c r="A75" s="17" t="s">
        <v>17</v>
      </c>
      <c r="B75" s="17"/>
      <c r="C75" s="17"/>
      <c r="D75" s="17"/>
      <c r="E75" s="17"/>
      <c r="F75" s="2"/>
      <c r="G75" s="104"/>
      <c r="H75" s="104"/>
      <c r="I75" s="104"/>
      <c r="J75" s="104"/>
    </row>
    <row r="76" spans="1:10" ht="15" thickBot="1">
      <c r="A76" s="18" t="s">
        <v>18</v>
      </c>
      <c r="B76" s="19">
        <f>B70*(1-B74)/B73</f>
        <v>20000000</v>
      </c>
      <c r="C76" s="19">
        <f>(C70-C71*C72)*(1-C74)/C73</f>
        <v>10000000.000000002</v>
      </c>
      <c r="D76" s="19">
        <f>D70*(1-D74)/D73</f>
        <v>20000000</v>
      </c>
      <c r="E76" s="19">
        <f>(E70-E71*E72)*(1-E74)/E73</f>
        <v>14000000.000000002</v>
      </c>
      <c r="F76" s="2"/>
      <c r="G76" s="104" t="s">
        <v>68</v>
      </c>
      <c r="H76" s="104"/>
      <c r="I76" s="104"/>
      <c r="J76" s="104"/>
    </row>
    <row r="77" spans="1:10" ht="12.75">
      <c r="A77" s="20" t="s">
        <v>19</v>
      </c>
      <c r="B77" s="21"/>
      <c r="C77" s="21"/>
      <c r="D77" s="21"/>
      <c r="E77" s="21"/>
      <c r="F77" s="2"/>
      <c r="G77" s="104"/>
      <c r="H77" s="104"/>
      <c r="I77" s="104"/>
      <c r="J77" s="104"/>
    </row>
    <row r="78" spans="1:10" ht="13.5" thickBot="1">
      <c r="A78" s="22" t="s">
        <v>20</v>
      </c>
      <c r="B78" s="23">
        <f>B76</f>
        <v>20000000</v>
      </c>
      <c r="C78" s="23">
        <f>B78+C74*C71</f>
        <v>20000000</v>
      </c>
      <c r="D78" s="23">
        <f>D76</f>
        <v>20000000</v>
      </c>
      <c r="E78" s="23">
        <f>D78+E74*E71</f>
        <v>24000000</v>
      </c>
      <c r="F78" s="2"/>
      <c r="G78" s="104" t="s">
        <v>44</v>
      </c>
      <c r="H78" s="104"/>
      <c r="I78" s="104"/>
      <c r="J78" s="104"/>
    </row>
    <row r="79" spans="1:10" ht="15" thickBot="1">
      <c r="A79" s="46" t="s">
        <v>6</v>
      </c>
      <c r="B79" s="47">
        <f>B73</f>
        <v>0.12</v>
      </c>
      <c r="C79" s="47">
        <f>(C71/C78)*C72*(1-C74)+(C76/C78)*C73</f>
        <v>0.12</v>
      </c>
      <c r="D79" s="47">
        <f>(D71/D78)*D72*(1-D74)+(D76/D78)*D73</f>
        <v>0.12</v>
      </c>
      <c r="E79" s="47">
        <f>(E71/E78)*E72*(1-E74)+(E76/E78)*E73</f>
        <v>0.09999999999999999</v>
      </c>
      <c r="F79" s="2"/>
      <c r="G79" s="104" t="s">
        <v>69</v>
      </c>
      <c r="H79" s="104"/>
      <c r="I79" s="104"/>
      <c r="J79" s="104"/>
    </row>
    <row r="80" spans="1:9" ht="12.75">
      <c r="A80" s="9"/>
      <c r="B80" s="52"/>
      <c r="C80" s="52"/>
      <c r="D80" s="52"/>
      <c r="E80" s="52"/>
      <c r="F80" s="2"/>
      <c r="I80" s="3"/>
    </row>
    <row r="81" spans="1:9" ht="12.75">
      <c r="A81" s="9"/>
      <c r="B81" s="52"/>
      <c r="C81" s="52"/>
      <c r="D81" s="52"/>
      <c r="E81" s="52"/>
      <c r="F81" s="2"/>
      <c r="I81" s="3"/>
    </row>
    <row r="82" spans="1:9" ht="14.25">
      <c r="A82" s="8" t="s">
        <v>57</v>
      </c>
      <c r="B82" s="52"/>
      <c r="C82" s="52"/>
      <c r="D82" s="52"/>
      <c r="E82" s="52"/>
      <c r="F82" s="2"/>
      <c r="I82" s="3"/>
    </row>
    <row r="83" spans="1:9" ht="13.5" thickBot="1">
      <c r="A83" s="9"/>
      <c r="B83" s="52"/>
      <c r="C83" s="52"/>
      <c r="D83" s="52"/>
      <c r="E83" s="52"/>
      <c r="F83" s="2"/>
      <c r="I83" s="3"/>
    </row>
    <row r="84" spans="1:9" ht="13.5" thickBot="1">
      <c r="A84" s="90" t="s">
        <v>54</v>
      </c>
      <c r="B84" s="91"/>
      <c r="C84" s="91"/>
      <c r="D84" s="91"/>
      <c r="E84" s="91"/>
      <c r="F84" s="92"/>
      <c r="G84" s="48"/>
      <c r="I84" s="3"/>
    </row>
    <row r="85" spans="1:9" ht="15" thickBot="1">
      <c r="A85" s="96" t="s">
        <v>50</v>
      </c>
      <c r="B85" s="93" t="s">
        <v>51</v>
      </c>
      <c r="C85" s="93" t="s">
        <v>52</v>
      </c>
      <c r="D85" s="93" t="s">
        <v>53</v>
      </c>
      <c r="E85" s="115" t="s">
        <v>65</v>
      </c>
      <c r="F85" s="116" t="s">
        <v>66</v>
      </c>
      <c r="G85" s="95" t="s">
        <v>6</v>
      </c>
      <c r="I85" s="3"/>
    </row>
    <row r="86" spans="1:9" ht="12.75">
      <c r="A86" s="53">
        <v>0</v>
      </c>
      <c r="B86" s="55">
        <v>20</v>
      </c>
      <c r="C86" s="58">
        <f>B86-A86</f>
        <v>20</v>
      </c>
      <c r="D86" s="59">
        <f>A86/B86</f>
        <v>0</v>
      </c>
      <c r="E86" s="62">
        <v>0.08</v>
      </c>
      <c r="F86" s="65">
        <v>0.12</v>
      </c>
      <c r="G86" s="65">
        <f>F86*(C86/B86)+E86*D86</f>
        <v>0.12</v>
      </c>
      <c r="I86" s="3"/>
    </row>
    <row r="87" spans="1:9" ht="12.75">
      <c r="A87" s="33">
        <v>5</v>
      </c>
      <c r="B87" s="56">
        <f>B86</f>
        <v>20</v>
      </c>
      <c r="C87" s="56">
        <f>B87-A87</f>
        <v>15</v>
      </c>
      <c r="D87" s="60">
        <f>A87/B87</f>
        <v>0.25</v>
      </c>
      <c r="E87" s="63">
        <f>E86</f>
        <v>0.08</v>
      </c>
      <c r="F87" s="63">
        <f>$F$86+($F$86-E87)*(A87/C87)</f>
        <v>0.13333333333333333</v>
      </c>
      <c r="G87" s="66">
        <f>F87*(C87/B87)+E87*D87</f>
        <v>0.12000000000000001</v>
      </c>
      <c r="I87" s="3"/>
    </row>
    <row r="88" spans="1:9" ht="12.75">
      <c r="A88" s="33">
        <v>10</v>
      </c>
      <c r="B88" s="56">
        <f>B87</f>
        <v>20</v>
      </c>
      <c r="C88" s="56">
        <f>B88-A88</f>
        <v>10</v>
      </c>
      <c r="D88" s="60">
        <f>A88/B88</f>
        <v>0.5</v>
      </c>
      <c r="E88" s="63">
        <f>E87</f>
        <v>0.08</v>
      </c>
      <c r="F88" s="63">
        <f>$F$86+($F$86-E88)*(A88/C88)</f>
        <v>0.15999999999999998</v>
      </c>
      <c r="G88" s="66">
        <f>F88*(C88/B88)+E88*D88</f>
        <v>0.12</v>
      </c>
      <c r="I88" s="3"/>
    </row>
    <row r="89" spans="1:9" ht="12.75">
      <c r="A89" s="33">
        <v>15</v>
      </c>
      <c r="B89" s="56">
        <f>B88</f>
        <v>20</v>
      </c>
      <c r="C89" s="56">
        <f>B89-A89</f>
        <v>5</v>
      </c>
      <c r="D89" s="60">
        <f>A89/B89</f>
        <v>0.75</v>
      </c>
      <c r="E89" s="63">
        <f>E88</f>
        <v>0.08</v>
      </c>
      <c r="F89" s="63">
        <f>$F$86+($F$86-E89)*(A89/C89)</f>
        <v>0.24</v>
      </c>
      <c r="G89" s="66">
        <f>F89*(C89/B89)+E89*D89</f>
        <v>0.12</v>
      </c>
      <c r="I89" s="3"/>
    </row>
    <row r="90" spans="1:9" ht="13.5" thickBot="1">
      <c r="A90" s="54">
        <v>20</v>
      </c>
      <c r="B90" s="57">
        <f>B89</f>
        <v>20</v>
      </c>
      <c r="C90" s="57">
        <f>B90-A90</f>
        <v>0</v>
      </c>
      <c r="D90" s="61">
        <f>A90/B90</f>
        <v>1</v>
      </c>
      <c r="E90" s="64">
        <v>0.08</v>
      </c>
      <c r="F90" s="64"/>
      <c r="G90" s="67">
        <v>0.12</v>
      </c>
      <c r="I90" s="3"/>
    </row>
    <row r="91" spans="1:9" ht="12.75">
      <c r="A91" s="9"/>
      <c r="B91" s="52"/>
      <c r="C91" s="52"/>
      <c r="D91" s="52"/>
      <c r="E91" s="52"/>
      <c r="F91" s="2"/>
      <c r="I91" s="3"/>
    </row>
    <row r="92" spans="1:9" ht="12.75">
      <c r="A92" s="9"/>
      <c r="B92" s="52"/>
      <c r="C92" s="52"/>
      <c r="D92" s="52"/>
      <c r="E92" s="52"/>
      <c r="F92" s="2"/>
      <c r="I92" s="3"/>
    </row>
    <row r="93" spans="1:9" ht="12.75">
      <c r="A93" s="9"/>
      <c r="B93" s="52"/>
      <c r="C93" s="52"/>
      <c r="D93" s="52"/>
      <c r="E93" s="52"/>
      <c r="F93" s="2"/>
      <c r="I93" s="3"/>
    </row>
    <row r="94" spans="1:9" ht="12.75">
      <c r="A94" s="9"/>
      <c r="B94" s="52"/>
      <c r="C94" s="52"/>
      <c r="D94" s="52"/>
      <c r="E94" s="52"/>
      <c r="F94" s="2"/>
      <c r="I94" s="3"/>
    </row>
    <row r="95" spans="1:9" ht="12.75">
      <c r="A95" s="9"/>
      <c r="B95" s="52"/>
      <c r="C95" s="52"/>
      <c r="D95" s="52"/>
      <c r="E95" s="52"/>
      <c r="F95" s="2"/>
      <c r="I95" s="3"/>
    </row>
    <row r="96" spans="1:9" ht="12.75">
      <c r="A96" s="9"/>
      <c r="B96" s="52"/>
      <c r="C96" s="52"/>
      <c r="D96" s="52"/>
      <c r="E96" s="52"/>
      <c r="F96" s="2"/>
      <c r="I96" s="3"/>
    </row>
    <row r="97" spans="1:9" ht="12.75">
      <c r="A97" s="9"/>
      <c r="B97" s="52"/>
      <c r="C97" s="52"/>
      <c r="D97" s="52"/>
      <c r="E97" s="52"/>
      <c r="F97" s="2"/>
      <c r="I97" s="3"/>
    </row>
    <row r="98" spans="1:9" ht="12.75">
      <c r="A98" s="9"/>
      <c r="B98" s="52"/>
      <c r="C98" s="52"/>
      <c r="D98" s="52"/>
      <c r="E98" s="52"/>
      <c r="F98" s="2"/>
      <c r="I98" s="3"/>
    </row>
    <row r="99" spans="1:9" ht="12.75">
      <c r="A99" s="9"/>
      <c r="B99" s="52"/>
      <c r="C99" s="52"/>
      <c r="D99" s="52"/>
      <c r="E99" s="52"/>
      <c r="F99" s="2"/>
      <c r="I99" s="3"/>
    </row>
    <row r="100" spans="1:9" ht="12.75">
      <c r="A100" s="9"/>
      <c r="B100" s="52"/>
      <c r="C100" s="52"/>
      <c r="D100" s="52"/>
      <c r="E100" s="52"/>
      <c r="F100" s="2"/>
      <c r="I100" s="3"/>
    </row>
    <row r="101" spans="1:9" ht="12.75">
      <c r="A101" s="9"/>
      <c r="B101" s="52"/>
      <c r="C101" s="52"/>
      <c r="D101" s="52"/>
      <c r="E101" s="52"/>
      <c r="F101" s="2"/>
      <c r="I101" s="3"/>
    </row>
    <row r="102" spans="1:9" ht="12.75">
      <c r="A102" s="9"/>
      <c r="B102" s="52"/>
      <c r="C102" s="52"/>
      <c r="D102" s="52"/>
      <c r="E102" s="52"/>
      <c r="F102" s="2"/>
      <c r="I102" s="3"/>
    </row>
    <row r="103" spans="1:9" ht="12.75">
      <c r="A103" s="9"/>
      <c r="B103" s="52"/>
      <c r="C103" s="52"/>
      <c r="D103" s="52"/>
      <c r="E103" s="52"/>
      <c r="F103" s="2"/>
      <c r="I103" s="3"/>
    </row>
    <row r="104" spans="1:9" ht="12.75">
      <c r="A104" s="9"/>
      <c r="B104" s="52"/>
      <c r="C104" s="52"/>
      <c r="D104" s="52"/>
      <c r="E104" s="52"/>
      <c r="F104" s="2"/>
      <c r="I104" s="3"/>
    </row>
    <row r="105" spans="1:9" ht="12.75">
      <c r="A105" s="9"/>
      <c r="B105" s="52"/>
      <c r="C105" s="52"/>
      <c r="D105" s="52"/>
      <c r="E105" s="52"/>
      <c r="F105" s="2"/>
      <c r="I105" s="3"/>
    </row>
    <row r="106" spans="1:9" ht="12.75">
      <c r="A106" s="9"/>
      <c r="B106" s="52"/>
      <c r="C106" s="52"/>
      <c r="D106" s="52"/>
      <c r="E106" s="52"/>
      <c r="F106" s="2"/>
      <c r="I106" s="3"/>
    </row>
    <row r="107" spans="1:9" ht="12.75">
      <c r="A107" s="9"/>
      <c r="B107" s="52"/>
      <c r="C107" s="52"/>
      <c r="D107" s="52"/>
      <c r="E107" s="52"/>
      <c r="F107" s="2"/>
      <c r="I107" s="3"/>
    </row>
    <row r="108" spans="1:9" ht="12.75">
      <c r="A108" s="9"/>
      <c r="B108" s="52"/>
      <c r="C108" s="52"/>
      <c r="D108" s="52"/>
      <c r="E108" s="52"/>
      <c r="F108" s="2"/>
      <c r="I108" s="3"/>
    </row>
    <row r="109" spans="1:9" ht="12.75">
      <c r="A109" s="9"/>
      <c r="B109" s="52"/>
      <c r="C109" s="52"/>
      <c r="D109" s="52"/>
      <c r="E109" s="52"/>
      <c r="F109" s="2"/>
      <c r="I109" s="3"/>
    </row>
    <row r="110" spans="1:9" ht="12.75">
      <c r="A110" s="9"/>
      <c r="B110" s="52"/>
      <c r="C110" s="52"/>
      <c r="D110" s="52"/>
      <c r="E110" s="52"/>
      <c r="F110" s="2"/>
      <c r="I110" s="3"/>
    </row>
    <row r="111" spans="1:9" ht="13.5" thickBot="1">
      <c r="A111" s="9"/>
      <c r="B111" s="52"/>
      <c r="C111" s="52"/>
      <c r="D111" s="52"/>
      <c r="E111" s="52"/>
      <c r="F111" s="2"/>
      <c r="I111" s="3"/>
    </row>
    <row r="112" spans="1:9" ht="12.75">
      <c r="A112" s="83" t="s">
        <v>55</v>
      </c>
      <c r="B112" s="84"/>
      <c r="C112" s="84"/>
      <c r="D112" s="84"/>
      <c r="E112" s="84"/>
      <c r="F112" s="84"/>
      <c r="G112" s="85"/>
      <c r="H112" s="51"/>
      <c r="I112" s="3"/>
    </row>
    <row r="113" spans="1:9" ht="15" thickBot="1">
      <c r="A113" s="86" t="s">
        <v>56</v>
      </c>
      <c r="B113" s="87">
        <v>0.4</v>
      </c>
      <c r="C113" s="87"/>
      <c r="D113" s="87"/>
      <c r="E113" s="87"/>
      <c r="F113" s="87"/>
      <c r="G113" s="88"/>
      <c r="H113" s="89"/>
      <c r="I113" s="3"/>
    </row>
    <row r="114" spans="1:9" ht="13.5" thickBot="1">
      <c r="A114" s="82" t="s">
        <v>50</v>
      </c>
      <c r="B114" s="93" t="s">
        <v>51</v>
      </c>
      <c r="C114" s="93" t="s">
        <v>52</v>
      </c>
      <c r="D114" s="93" t="s">
        <v>53</v>
      </c>
      <c r="E114" s="94" t="s">
        <v>65</v>
      </c>
      <c r="F114" s="94" t="s">
        <v>70</v>
      </c>
      <c r="G114" s="95" t="s">
        <v>66</v>
      </c>
      <c r="H114" s="97" t="s">
        <v>6</v>
      </c>
      <c r="I114" s="3"/>
    </row>
    <row r="115" spans="1:9" ht="12.75">
      <c r="A115" s="53">
        <v>0</v>
      </c>
      <c r="B115" s="74">
        <v>20</v>
      </c>
      <c r="C115" s="75">
        <f>B115-A115</f>
        <v>20</v>
      </c>
      <c r="D115" s="76">
        <f>A115/B115</f>
        <v>0</v>
      </c>
      <c r="E115" s="71">
        <v>0.08</v>
      </c>
      <c r="F115" s="71">
        <f>8%*(1-B113)</f>
        <v>0.048</v>
      </c>
      <c r="G115" s="68">
        <v>0.12</v>
      </c>
      <c r="H115" s="68">
        <f>G115*(C115/B115)+E115*D115*(1-$B$113)</f>
        <v>0.12</v>
      </c>
      <c r="I115" s="3"/>
    </row>
    <row r="116" spans="1:9" ht="12.75">
      <c r="A116" s="33">
        <v>5</v>
      </c>
      <c r="B116" s="77">
        <f>$B$115+A116*$B$113</f>
        <v>22</v>
      </c>
      <c r="C116" s="78">
        <f aca="true" t="shared" si="0" ref="C116:C122">B116-A116</f>
        <v>17</v>
      </c>
      <c r="D116" s="79">
        <f aca="true" t="shared" si="1" ref="D116:D122">A116/B116</f>
        <v>0.22727272727272727</v>
      </c>
      <c r="E116" s="72">
        <f>E115</f>
        <v>0.08</v>
      </c>
      <c r="F116" s="72">
        <f>F115</f>
        <v>0.048</v>
      </c>
      <c r="G116" s="72">
        <f aca="true" t="shared" si="2" ref="G116:G121">$F$86+($G$115-E116)*(1-$B$113)*(A116/C116)</f>
        <v>0.12705882352941175</v>
      </c>
      <c r="H116" s="69">
        <f aca="true" t="shared" si="3" ref="H116:H121">G116*(C116/B116)+E116*D116*(1-$B$113)</f>
        <v>0.10909090909090909</v>
      </c>
      <c r="I116" s="3"/>
    </row>
    <row r="117" spans="1:9" ht="12.75">
      <c r="A117" s="33">
        <v>10</v>
      </c>
      <c r="B117" s="77">
        <f aca="true" t="shared" si="4" ref="B117:B122">$B$115+A117*$B$113</f>
        <v>24</v>
      </c>
      <c r="C117" s="78">
        <f t="shared" si="0"/>
        <v>14</v>
      </c>
      <c r="D117" s="79">
        <f t="shared" si="1"/>
        <v>0.4166666666666667</v>
      </c>
      <c r="E117" s="72">
        <f aca="true" t="shared" si="5" ref="E117:F122">E116</f>
        <v>0.08</v>
      </c>
      <c r="F117" s="72">
        <f t="shared" si="5"/>
        <v>0.048</v>
      </c>
      <c r="G117" s="72">
        <f t="shared" si="2"/>
        <v>0.13714285714285712</v>
      </c>
      <c r="H117" s="69">
        <f t="shared" si="3"/>
        <v>0.09999999999999999</v>
      </c>
      <c r="I117" s="3"/>
    </row>
    <row r="118" spans="1:9" ht="12.75">
      <c r="A118" s="33">
        <v>15</v>
      </c>
      <c r="B118" s="77">
        <f t="shared" si="4"/>
        <v>26</v>
      </c>
      <c r="C118" s="78">
        <f t="shared" si="0"/>
        <v>11</v>
      </c>
      <c r="D118" s="79">
        <f t="shared" si="1"/>
        <v>0.5769230769230769</v>
      </c>
      <c r="E118" s="72">
        <f t="shared" si="5"/>
        <v>0.08</v>
      </c>
      <c r="F118" s="72">
        <f t="shared" si="5"/>
        <v>0.048</v>
      </c>
      <c r="G118" s="72">
        <f t="shared" si="2"/>
        <v>0.1527272727272727</v>
      </c>
      <c r="H118" s="69">
        <f t="shared" si="3"/>
        <v>0.09230769230769229</v>
      </c>
      <c r="I118" s="3"/>
    </row>
    <row r="119" spans="1:9" ht="12.75">
      <c r="A119" s="33">
        <v>20</v>
      </c>
      <c r="B119" s="77">
        <f t="shared" si="4"/>
        <v>28</v>
      </c>
      <c r="C119" s="78">
        <f t="shared" si="0"/>
        <v>8</v>
      </c>
      <c r="D119" s="79">
        <f t="shared" si="1"/>
        <v>0.7142857142857143</v>
      </c>
      <c r="E119" s="72">
        <f t="shared" si="5"/>
        <v>0.08</v>
      </c>
      <c r="F119" s="72">
        <f t="shared" si="5"/>
        <v>0.048</v>
      </c>
      <c r="G119" s="72">
        <f t="shared" si="2"/>
        <v>0.18</v>
      </c>
      <c r="H119" s="69">
        <f t="shared" si="3"/>
        <v>0.08571428571428572</v>
      </c>
      <c r="I119" s="3"/>
    </row>
    <row r="120" spans="1:9" ht="12.75">
      <c r="A120" s="33">
        <v>25</v>
      </c>
      <c r="B120" s="77">
        <f t="shared" si="4"/>
        <v>30</v>
      </c>
      <c r="C120" s="78">
        <f t="shared" si="0"/>
        <v>5</v>
      </c>
      <c r="D120" s="79">
        <f t="shared" si="1"/>
        <v>0.8333333333333334</v>
      </c>
      <c r="E120" s="72">
        <f t="shared" si="5"/>
        <v>0.08</v>
      </c>
      <c r="F120" s="72">
        <f t="shared" si="5"/>
        <v>0.048</v>
      </c>
      <c r="G120" s="72">
        <f t="shared" si="2"/>
        <v>0.24</v>
      </c>
      <c r="H120" s="69">
        <f t="shared" si="3"/>
        <v>0.07999999999999999</v>
      </c>
      <c r="I120" s="3"/>
    </row>
    <row r="121" spans="1:9" ht="12.75">
      <c r="A121" s="33">
        <v>30</v>
      </c>
      <c r="B121" s="77">
        <f t="shared" si="4"/>
        <v>32</v>
      </c>
      <c r="C121" s="78">
        <f t="shared" si="0"/>
        <v>2</v>
      </c>
      <c r="D121" s="79">
        <f t="shared" si="1"/>
        <v>0.9375</v>
      </c>
      <c r="E121" s="72">
        <f t="shared" si="5"/>
        <v>0.08</v>
      </c>
      <c r="F121" s="72">
        <f t="shared" si="5"/>
        <v>0.048</v>
      </c>
      <c r="G121" s="72">
        <f t="shared" si="2"/>
        <v>0.4799999999999999</v>
      </c>
      <c r="H121" s="69">
        <f t="shared" si="3"/>
        <v>0.075</v>
      </c>
      <c r="I121" s="3"/>
    </row>
    <row r="122" spans="1:9" ht="13.5" thickBot="1">
      <c r="A122" s="54">
        <v>33.33</v>
      </c>
      <c r="B122" s="80">
        <f t="shared" si="4"/>
        <v>33.332</v>
      </c>
      <c r="C122" s="81">
        <f t="shared" si="0"/>
        <v>0.0020000000000024443</v>
      </c>
      <c r="D122" s="49">
        <f t="shared" si="1"/>
        <v>0.9999399975999039</v>
      </c>
      <c r="E122" s="73">
        <v>0.08</v>
      </c>
      <c r="F122" s="73">
        <f t="shared" si="5"/>
        <v>0.048</v>
      </c>
      <c r="G122" s="73"/>
      <c r="H122" s="70">
        <f>G115*(1-B113)</f>
        <v>0.072</v>
      </c>
      <c r="I122" s="3"/>
    </row>
    <row r="123" spans="1:9" ht="12.75">
      <c r="A123" s="9"/>
      <c r="B123" s="52"/>
      <c r="C123" s="52"/>
      <c r="D123" s="52"/>
      <c r="E123" s="52"/>
      <c r="F123" s="2"/>
      <c r="I123" s="3"/>
    </row>
    <row r="124" spans="1:9" ht="12.75">
      <c r="A124" s="9"/>
      <c r="B124" s="52"/>
      <c r="C124" s="52"/>
      <c r="D124" s="52"/>
      <c r="E124" s="52"/>
      <c r="F124" s="2"/>
      <c r="I124" s="3"/>
    </row>
    <row r="125" spans="1:9" ht="12.75">
      <c r="A125" s="9"/>
      <c r="B125" s="52"/>
      <c r="C125" s="52"/>
      <c r="D125" s="52"/>
      <c r="E125" s="52"/>
      <c r="F125" s="2"/>
      <c r="I125" s="3"/>
    </row>
    <row r="126" spans="1:9" ht="12.75">
      <c r="A126" s="9"/>
      <c r="B126" s="52"/>
      <c r="C126" s="52"/>
      <c r="D126" s="52"/>
      <c r="E126" s="52"/>
      <c r="F126" s="2"/>
      <c r="I126" s="3"/>
    </row>
    <row r="127" spans="1:9" ht="12.75">
      <c r="A127" s="9"/>
      <c r="B127" s="52"/>
      <c r="C127" s="52"/>
      <c r="D127" s="52"/>
      <c r="E127" s="52"/>
      <c r="F127" s="2"/>
      <c r="I127" s="3"/>
    </row>
    <row r="128" spans="1:9" ht="12.75">
      <c r="A128" s="9"/>
      <c r="B128" s="52"/>
      <c r="C128" s="52"/>
      <c r="D128" s="52"/>
      <c r="E128" s="52"/>
      <c r="F128" s="2"/>
      <c r="I128" s="3"/>
    </row>
    <row r="129" spans="1:9" ht="12.75">
      <c r="A129" s="9"/>
      <c r="B129" s="52"/>
      <c r="C129" s="52"/>
      <c r="D129" s="52"/>
      <c r="E129" s="52"/>
      <c r="F129" s="2"/>
      <c r="I129" s="3"/>
    </row>
    <row r="130" spans="1:9" ht="12.75">
      <c r="A130" s="9"/>
      <c r="B130" s="52"/>
      <c r="C130" s="52"/>
      <c r="D130" s="52"/>
      <c r="E130" s="52"/>
      <c r="F130" s="2"/>
      <c r="I130" s="3"/>
    </row>
    <row r="131" spans="1:9" ht="12.75">
      <c r="A131" s="9"/>
      <c r="B131" s="52"/>
      <c r="C131" s="52"/>
      <c r="D131" s="52"/>
      <c r="E131" s="52"/>
      <c r="F131" s="2"/>
      <c r="I131" s="3"/>
    </row>
    <row r="132" spans="1:9" ht="12.75">
      <c r="A132" s="9"/>
      <c r="B132" s="52"/>
      <c r="C132" s="52"/>
      <c r="D132" s="52"/>
      <c r="E132" s="52"/>
      <c r="F132" s="2"/>
      <c r="I132" s="3"/>
    </row>
    <row r="133" spans="1:9" ht="12.75">
      <c r="A133" s="9"/>
      <c r="B133" s="52"/>
      <c r="C133" s="52"/>
      <c r="D133" s="52"/>
      <c r="E133" s="52"/>
      <c r="F133" s="2"/>
      <c r="I133" s="3"/>
    </row>
    <row r="134" spans="1:9" ht="12.75">
      <c r="A134" s="9"/>
      <c r="B134" s="52"/>
      <c r="C134" s="52"/>
      <c r="D134" s="52"/>
      <c r="E134" s="52"/>
      <c r="F134" s="2"/>
      <c r="I134" s="3"/>
    </row>
    <row r="135" spans="1:9" ht="12.75">
      <c r="A135" s="9"/>
      <c r="B135" s="52"/>
      <c r="C135" s="52"/>
      <c r="D135" s="52"/>
      <c r="E135" s="52"/>
      <c r="F135" s="2"/>
      <c r="I135" s="3"/>
    </row>
    <row r="136" spans="1:9" ht="12.75">
      <c r="A136" s="9"/>
      <c r="B136" s="52"/>
      <c r="C136" s="52"/>
      <c r="D136" s="52"/>
      <c r="E136" s="52"/>
      <c r="F136" s="2"/>
      <c r="I136" s="3"/>
    </row>
    <row r="137" spans="1:9" ht="12.75">
      <c r="A137" s="9"/>
      <c r="B137" s="52"/>
      <c r="C137" s="52"/>
      <c r="D137" s="52"/>
      <c r="E137" s="52"/>
      <c r="F137" s="2"/>
      <c r="I137" s="3"/>
    </row>
    <row r="138" spans="1:9" ht="12.75">
      <c r="A138" s="9"/>
      <c r="B138" s="52"/>
      <c r="C138" s="52"/>
      <c r="D138" s="52"/>
      <c r="E138" s="52"/>
      <c r="F138" s="2"/>
      <c r="I138" s="3"/>
    </row>
    <row r="139" spans="1:9" ht="12.75">
      <c r="A139" s="9"/>
      <c r="B139" s="52"/>
      <c r="C139" s="52"/>
      <c r="D139" s="52"/>
      <c r="E139" s="52"/>
      <c r="F139" s="2"/>
      <c r="I139" s="3"/>
    </row>
    <row r="140" spans="1:9" ht="12.75">
      <c r="A140" s="9"/>
      <c r="B140" s="52"/>
      <c r="C140" s="52"/>
      <c r="D140" s="52"/>
      <c r="E140" s="52"/>
      <c r="F140" s="2"/>
      <c r="I140" s="3"/>
    </row>
    <row r="141" spans="1:9" ht="12.75">
      <c r="A141" s="9"/>
      <c r="B141" s="52"/>
      <c r="C141" s="52"/>
      <c r="D141" s="52"/>
      <c r="E141" s="52"/>
      <c r="F141" s="2"/>
      <c r="I141" s="3"/>
    </row>
    <row r="142" spans="1:9" ht="12.75">
      <c r="A142" s="9"/>
      <c r="B142" s="52"/>
      <c r="C142" s="52"/>
      <c r="D142" s="52"/>
      <c r="E142" s="52"/>
      <c r="F142" s="2"/>
      <c r="I142" s="3"/>
    </row>
    <row r="143" spans="1:9" ht="12.75">
      <c r="A143" s="9"/>
      <c r="B143" s="52"/>
      <c r="C143" s="52"/>
      <c r="D143" s="52"/>
      <c r="E143" s="52"/>
      <c r="F143" s="2"/>
      <c r="I143" s="3"/>
    </row>
    <row r="144" spans="1:9" ht="12.75">
      <c r="A144" s="9"/>
      <c r="B144" s="52"/>
      <c r="C144" s="52"/>
      <c r="D144" s="52"/>
      <c r="E144" s="52"/>
      <c r="F144" s="2"/>
      <c r="I144" s="3"/>
    </row>
    <row r="145" spans="1:9" ht="12.75">
      <c r="A145" s="9"/>
      <c r="B145" s="52"/>
      <c r="C145" s="52"/>
      <c r="D145" s="52"/>
      <c r="E145" s="52"/>
      <c r="F145" s="2"/>
      <c r="I145" s="3"/>
    </row>
    <row r="146" spans="1:9" ht="15">
      <c r="A146" s="180" t="s">
        <v>150</v>
      </c>
      <c r="F146" s="2"/>
      <c r="I146" s="3"/>
    </row>
    <row r="147" spans="1:9" ht="14.25">
      <c r="A147" s="8"/>
      <c r="B147" s="9"/>
      <c r="C147" s="50"/>
      <c r="F147" s="2"/>
      <c r="I147" s="3"/>
    </row>
    <row r="148" spans="1:9" ht="14.25" customHeight="1">
      <c r="A148" s="200" t="s">
        <v>126</v>
      </c>
      <c r="B148" s="200"/>
      <c r="C148" s="200"/>
      <c r="D148" s="200"/>
      <c r="E148" s="200"/>
      <c r="F148" s="200"/>
      <c r="G148" s="200"/>
      <c r="I148" s="3"/>
    </row>
    <row r="149" spans="1:9" ht="12.75">
      <c r="A149" s="200"/>
      <c r="B149" s="200"/>
      <c r="C149" s="200"/>
      <c r="D149" s="200"/>
      <c r="E149" s="200"/>
      <c r="F149" s="200"/>
      <c r="G149" s="200"/>
      <c r="I149" s="3"/>
    </row>
    <row r="150" spans="2:9" ht="12.75">
      <c r="B150" s="9"/>
      <c r="C150" s="50"/>
      <c r="F150" s="2"/>
      <c r="I150" s="3"/>
    </row>
    <row r="151" spans="2:9" ht="12.75">
      <c r="B151" s="9"/>
      <c r="C151" s="50"/>
      <c r="F151" s="2"/>
      <c r="I151" s="3"/>
    </row>
    <row r="152" spans="2:9" ht="12.75">
      <c r="B152" s="9"/>
      <c r="C152" s="50"/>
      <c r="F152" s="2"/>
      <c r="I152" s="3"/>
    </row>
    <row r="153" spans="2:9" ht="12.75">
      <c r="B153" s="9"/>
      <c r="C153" s="50"/>
      <c r="F153" s="2"/>
      <c r="I153" s="3"/>
    </row>
    <row r="154" spans="2:9" ht="12.75">
      <c r="B154" s="9"/>
      <c r="C154" s="50"/>
      <c r="F154" s="2"/>
      <c r="I154" s="3"/>
    </row>
    <row r="155" spans="1:9" ht="12.75">
      <c r="A155" s="4" t="s">
        <v>46</v>
      </c>
      <c r="B155" s="9"/>
      <c r="C155" s="50"/>
      <c r="F155" s="2"/>
      <c r="I155" s="3"/>
    </row>
    <row r="156" spans="2:9" ht="12.75">
      <c r="B156" s="9"/>
      <c r="C156" s="50"/>
      <c r="F156" s="2"/>
      <c r="I156" s="3"/>
    </row>
    <row r="157" spans="2:9" ht="12.75">
      <c r="B157" s="9"/>
      <c r="C157" s="50"/>
      <c r="F157" s="2"/>
      <c r="I157" s="3"/>
    </row>
    <row r="158" spans="2:9" ht="12.75">
      <c r="B158" s="9"/>
      <c r="C158" s="50"/>
      <c r="F158" s="2"/>
      <c r="I158" s="3"/>
    </row>
    <row r="159" spans="2:9" ht="12.75">
      <c r="B159" s="9"/>
      <c r="C159" s="50"/>
      <c r="F159" s="2"/>
      <c r="I159" s="3"/>
    </row>
    <row r="160" spans="2:9" ht="12.75">
      <c r="B160" s="9"/>
      <c r="C160" s="50"/>
      <c r="F160" s="2"/>
      <c r="I160" s="3"/>
    </row>
    <row r="161" spans="1:9" ht="12.75">
      <c r="A161" s="4" t="s">
        <v>47</v>
      </c>
      <c r="B161" s="9"/>
      <c r="C161" s="50"/>
      <c r="F161" s="2"/>
      <c r="I161" s="3"/>
    </row>
    <row r="162" spans="1:9" ht="13.5" thickBot="1">
      <c r="A162" s="4"/>
      <c r="B162" s="9"/>
      <c r="C162" s="50"/>
      <c r="F162" s="2"/>
      <c r="I162" s="3"/>
    </row>
    <row r="163" spans="1:9" ht="14.25">
      <c r="A163" s="107" t="s">
        <v>59</v>
      </c>
      <c r="B163" s="111">
        <v>0.34</v>
      </c>
      <c r="C163" s="50"/>
      <c r="F163" s="2"/>
      <c r="I163" s="3"/>
    </row>
    <row r="164" spans="1:9" ht="14.25">
      <c r="A164" s="108" t="s">
        <v>60</v>
      </c>
      <c r="B164" s="112">
        <v>0.15</v>
      </c>
      <c r="C164" s="50"/>
      <c r="F164" s="2"/>
      <c r="I164" s="3"/>
    </row>
    <row r="165" spans="1:9" ht="15" thickBot="1">
      <c r="A165" s="108" t="s">
        <v>61</v>
      </c>
      <c r="B165" s="112">
        <v>0.28</v>
      </c>
      <c r="C165" s="50"/>
      <c r="F165" s="2"/>
      <c r="I165" s="3"/>
    </row>
    <row r="166" spans="1:9" ht="12.75">
      <c r="A166" s="109" t="s">
        <v>48</v>
      </c>
      <c r="B166" s="105"/>
      <c r="C166" s="50"/>
      <c r="D166" s="201" t="s">
        <v>127</v>
      </c>
      <c r="E166" s="201"/>
      <c r="F166" s="201"/>
      <c r="G166" s="201"/>
      <c r="I166" s="3"/>
    </row>
    <row r="167" spans="1:9" ht="13.5" thickBot="1">
      <c r="A167" s="110" t="s">
        <v>49</v>
      </c>
      <c r="B167" s="106">
        <f>1-(1-B163)*(1-B164)/(1-B165)</f>
        <v>0.22083333333333344</v>
      </c>
      <c r="C167" s="50"/>
      <c r="D167" s="201"/>
      <c r="E167" s="201"/>
      <c r="F167" s="201"/>
      <c r="G167" s="201"/>
      <c r="I167" s="3"/>
    </row>
    <row r="168" spans="1:9" ht="12.75">
      <c r="A168" s="4"/>
      <c r="B168" s="9"/>
      <c r="C168" s="50"/>
      <c r="D168" s="201"/>
      <c r="E168" s="201"/>
      <c r="F168" s="201"/>
      <c r="G168" s="201"/>
      <c r="I168" s="3"/>
    </row>
    <row r="169" spans="1:9" ht="12.75">
      <c r="A169" s="4"/>
      <c r="B169" s="9"/>
      <c r="C169" s="50"/>
      <c r="D169" s="201"/>
      <c r="E169" s="201"/>
      <c r="F169" s="201"/>
      <c r="G169" s="201"/>
      <c r="I169" s="3"/>
    </row>
    <row r="170" spans="1:9" ht="12.75">
      <c r="A170" s="4"/>
      <c r="B170" s="9"/>
      <c r="C170" s="50"/>
      <c r="D170" s="201"/>
      <c r="E170" s="201"/>
      <c r="F170" s="201"/>
      <c r="G170" s="201"/>
      <c r="I170" s="3"/>
    </row>
    <row r="171" spans="2:9" ht="12.75">
      <c r="B171" s="9"/>
      <c r="C171" s="50"/>
      <c r="F171" s="2"/>
      <c r="I171" s="3"/>
    </row>
    <row r="172" spans="1:9" ht="15">
      <c r="A172" s="180" t="s">
        <v>160</v>
      </c>
      <c r="B172" s="9"/>
      <c r="C172" s="50"/>
      <c r="F172" s="2"/>
      <c r="I172" s="3"/>
    </row>
    <row r="173" spans="1:9" ht="12.75">
      <c r="A173" s="202" t="s">
        <v>133</v>
      </c>
      <c r="B173" s="200"/>
      <c r="C173" s="200"/>
      <c r="D173" s="200"/>
      <c r="E173" s="200"/>
      <c r="F173" s="200"/>
      <c r="G173" s="200"/>
      <c r="I173" s="3"/>
    </row>
    <row r="174" spans="1:9" ht="12.75">
      <c r="A174" s="200"/>
      <c r="B174" s="200"/>
      <c r="C174" s="200"/>
      <c r="D174" s="200"/>
      <c r="E174" s="200"/>
      <c r="F174" s="200"/>
      <c r="G174" s="200"/>
      <c r="I174" s="3"/>
    </row>
    <row r="175" spans="1:9" ht="12.75">
      <c r="A175" s="200"/>
      <c r="B175" s="200"/>
      <c r="C175" s="200"/>
      <c r="D175" s="200"/>
      <c r="E175" s="200"/>
      <c r="F175" s="200"/>
      <c r="G175" s="200"/>
      <c r="I175" s="3"/>
    </row>
    <row r="176" spans="1:9" ht="12.75">
      <c r="A176" s="200"/>
      <c r="B176" s="200"/>
      <c r="C176" s="200"/>
      <c r="D176" s="200"/>
      <c r="E176" s="200"/>
      <c r="F176" s="200"/>
      <c r="G176" s="200"/>
      <c r="I176" s="3"/>
    </row>
    <row r="177" spans="1:9" ht="12.75">
      <c r="A177" s="200"/>
      <c r="B177" s="200"/>
      <c r="C177" s="200"/>
      <c r="D177" s="200"/>
      <c r="E177" s="200"/>
      <c r="F177" s="200"/>
      <c r="G177" s="200"/>
      <c r="I177" s="3"/>
    </row>
    <row r="178" spans="1:9" ht="12.75">
      <c r="A178" s="200"/>
      <c r="B178" s="200"/>
      <c r="C178" s="200"/>
      <c r="D178" s="200"/>
      <c r="E178" s="200"/>
      <c r="F178" s="200"/>
      <c r="G178" s="200"/>
      <c r="I178" s="3"/>
    </row>
    <row r="179" spans="1:9" ht="12.75">
      <c r="A179" s="200"/>
      <c r="B179" s="200"/>
      <c r="C179" s="200"/>
      <c r="D179" s="200"/>
      <c r="E179" s="200"/>
      <c r="F179" s="200"/>
      <c r="G179" s="200"/>
      <c r="I179" s="3"/>
    </row>
    <row r="180" spans="1:9" ht="12.75">
      <c r="A180" s="4"/>
      <c r="B180" s="9"/>
      <c r="C180" s="50"/>
      <c r="F180" s="2"/>
      <c r="I180" s="3"/>
    </row>
    <row r="181" spans="1:9" ht="12.75">
      <c r="A181" s="4"/>
      <c r="B181" s="9"/>
      <c r="C181" s="50"/>
      <c r="F181" s="2"/>
      <c r="I181" s="3"/>
    </row>
    <row r="182" spans="1:9" ht="12.75">
      <c r="A182" s="4"/>
      <c r="B182" s="9"/>
      <c r="C182" s="50"/>
      <c r="F182" s="2"/>
      <c r="I182" s="3"/>
    </row>
    <row r="183" spans="1:9" ht="12.75">
      <c r="A183" s="4"/>
      <c r="B183" s="9"/>
      <c r="C183" s="50"/>
      <c r="F183" s="2"/>
      <c r="I183" s="3"/>
    </row>
    <row r="184" spans="1:9" ht="12.75">
      <c r="A184" s="4"/>
      <c r="B184" s="9"/>
      <c r="C184" s="50"/>
      <c r="F184" s="2"/>
      <c r="I184" s="3"/>
    </row>
    <row r="185" spans="1:9" ht="12.75">
      <c r="A185" s="4"/>
      <c r="B185" s="9"/>
      <c r="C185" s="50"/>
      <c r="F185" s="2"/>
      <c r="I185" s="3"/>
    </row>
    <row r="186" spans="1:9" ht="12.75">
      <c r="A186" s="4"/>
      <c r="B186" s="9"/>
      <c r="C186" s="50"/>
      <c r="F186" s="2"/>
      <c r="I186" s="3"/>
    </row>
    <row r="187" spans="1:9" ht="12.75">
      <c r="A187" s="4"/>
      <c r="B187" s="9"/>
      <c r="C187" s="50"/>
      <c r="F187" s="2"/>
      <c r="I187" s="3"/>
    </row>
    <row r="188" spans="2:9" ht="12.75">
      <c r="B188" s="9"/>
      <c r="C188" s="50"/>
      <c r="F188" s="2"/>
      <c r="I188" s="3"/>
    </row>
    <row r="189" ht="12.75"/>
    <row r="190" ht="12.75"/>
    <row r="191" spans="2:9" ht="12.75">
      <c r="B191" s="9"/>
      <c r="C191" s="50"/>
      <c r="F191" s="2"/>
      <c r="I191" s="3"/>
    </row>
    <row r="192" ht="12.75"/>
    <row r="193" ht="12.75"/>
    <row r="194" ht="12.75"/>
    <row r="195" ht="12.75"/>
    <row r="196" ht="12.75"/>
    <row r="197" ht="12.75"/>
    <row r="198" ht="12.75"/>
    <row r="199" ht="12.75"/>
    <row r="200" ht="13.5" thickBot="1"/>
    <row r="201" spans="1:9" ht="12.75">
      <c r="A201" s="15" t="s">
        <v>41</v>
      </c>
      <c r="B201" s="25" t="s">
        <v>43</v>
      </c>
      <c r="C201" s="120"/>
      <c r="D201" s="120"/>
      <c r="F201" s="2"/>
      <c r="I201" s="3"/>
    </row>
    <row r="202" spans="1:9" ht="12.75">
      <c r="A202" s="139" t="s">
        <v>75</v>
      </c>
      <c r="B202" s="26" t="s">
        <v>91</v>
      </c>
      <c r="C202" s="120"/>
      <c r="D202" s="120"/>
      <c r="F202" s="2"/>
      <c r="I202" s="3"/>
    </row>
    <row r="203" spans="1:9" ht="13.5" thickBot="1">
      <c r="A203" s="42"/>
      <c r="B203" s="26" t="s">
        <v>92</v>
      </c>
      <c r="C203" s="120"/>
      <c r="D203" s="120"/>
      <c r="F203" s="2"/>
      <c r="I203" s="3"/>
    </row>
    <row r="204" spans="1:9" ht="12.75">
      <c r="A204" s="117" t="s">
        <v>81</v>
      </c>
      <c r="B204" s="27">
        <v>1000000</v>
      </c>
      <c r="C204" s="121"/>
      <c r="D204" s="121"/>
      <c r="F204" s="2"/>
      <c r="I204" s="3"/>
    </row>
    <row r="205" spans="1:9" ht="12.75">
      <c r="A205" s="14" t="s">
        <v>3</v>
      </c>
      <c r="B205" s="28">
        <v>10000000</v>
      </c>
      <c r="C205" s="121"/>
      <c r="D205" s="121"/>
      <c r="F205" s="2"/>
      <c r="I205" s="3"/>
    </row>
    <row r="206" spans="1:9" ht="14.25">
      <c r="A206" s="117" t="s">
        <v>71</v>
      </c>
      <c r="B206" s="30">
        <v>0.08</v>
      </c>
      <c r="C206" s="122"/>
      <c r="D206" s="122"/>
      <c r="F206" s="2"/>
      <c r="I206" s="3"/>
    </row>
    <row r="207" spans="1:10" ht="14.25">
      <c r="A207" s="117" t="s">
        <v>77</v>
      </c>
      <c r="B207" s="44">
        <v>0.12</v>
      </c>
      <c r="C207" s="123"/>
      <c r="D207" s="127" t="s">
        <v>82</v>
      </c>
      <c r="F207" s="2"/>
      <c r="G207" s="118"/>
      <c r="H207" s="104"/>
      <c r="I207" s="104"/>
      <c r="J207" s="104"/>
    </row>
    <row r="208" spans="1:10" ht="12.75">
      <c r="A208" s="14" t="s">
        <v>0</v>
      </c>
      <c r="B208" s="43">
        <v>0.4</v>
      </c>
      <c r="C208" s="124"/>
      <c r="D208" s="124"/>
      <c r="F208" s="2"/>
      <c r="G208" s="104"/>
      <c r="H208" s="104"/>
      <c r="I208" s="104"/>
      <c r="J208" s="104"/>
    </row>
    <row r="209" spans="1:10" ht="13.5" thickBot="1">
      <c r="A209" s="14" t="s">
        <v>76</v>
      </c>
      <c r="B209" s="43">
        <v>0.07</v>
      </c>
      <c r="C209" s="124"/>
      <c r="D209" s="124"/>
      <c r="F209" s="2"/>
      <c r="G209" s="104"/>
      <c r="H209" s="104"/>
      <c r="I209" s="104"/>
      <c r="J209" s="104"/>
    </row>
    <row r="210" spans="1:10" ht="12.75">
      <c r="A210" s="126" t="s">
        <v>79</v>
      </c>
      <c r="B210" s="17"/>
      <c r="C210" s="9"/>
      <c r="D210" s="9"/>
      <c r="F210" s="2"/>
      <c r="G210" s="104"/>
      <c r="H210" s="104"/>
      <c r="I210" s="104"/>
      <c r="J210" s="104"/>
    </row>
    <row r="211" spans="1:10" ht="13.5" thickBot="1">
      <c r="A211" s="18" t="s">
        <v>78</v>
      </c>
      <c r="B211" s="19">
        <f>B204/(B207-B209)</f>
        <v>20000000.000000004</v>
      </c>
      <c r="C211" s="121"/>
      <c r="D211" s="118" t="s">
        <v>80</v>
      </c>
      <c r="F211" s="2"/>
      <c r="G211" s="104"/>
      <c r="H211" s="104"/>
      <c r="I211" s="104"/>
      <c r="J211" s="104"/>
    </row>
    <row r="212" spans="1:10" ht="12.75">
      <c r="A212" s="20" t="s">
        <v>83</v>
      </c>
      <c r="B212" s="21"/>
      <c r="C212" s="121"/>
      <c r="D212" s="121"/>
      <c r="F212" s="2"/>
      <c r="G212" s="104"/>
      <c r="H212" s="104"/>
      <c r="I212" s="104"/>
      <c r="J212" s="104"/>
    </row>
    <row r="213" spans="1:10" ht="15" thickBot="1">
      <c r="A213" s="22" t="s">
        <v>84</v>
      </c>
      <c r="B213" s="23">
        <f>B206*B208*B205/(B207-B209)</f>
        <v>6400000.000000002</v>
      </c>
      <c r="C213" s="125"/>
      <c r="D213" s="118" t="s">
        <v>85</v>
      </c>
      <c r="F213" s="2"/>
      <c r="H213" s="104"/>
      <c r="I213" s="104"/>
      <c r="J213" s="104"/>
    </row>
    <row r="214" spans="1:10" ht="12.75">
      <c r="A214" s="129" t="s">
        <v>45</v>
      </c>
      <c r="B214" s="130"/>
      <c r="C214" s="125"/>
      <c r="D214" s="118"/>
      <c r="F214" s="2"/>
      <c r="G214" s="104"/>
      <c r="H214" s="104"/>
      <c r="I214" s="104"/>
      <c r="J214" s="104"/>
    </row>
    <row r="215" spans="1:10" ht="13.5" thickBot="1">
      <c r="A215" s="128" t="s">
        <v>86</v>
      </c>
      <c r="B215" s="135">
        <f>B211+B213</f>
        <v>26400000.000000007</v>
      </c>
      <c r="C215" s="125"/>
      <c r="D215" s="118" t="s">
        <v>87</v>
      </c>
      <c r="F215" s="2"/>
      <c r="G215" s="104"/>
      <c r="H215" s="104"/>
      <c r="I215" s="104"/>
      <c r="J215" s="104"/>
    </row>
    <row r="216" spans="1:10" ht="12.75">
      <c r="A216" s="129" t="s">
        <v>83</v>
      </c>
      <c r="B216" s="136"/>
      <c r="C216" s="125"/>
      <c r="D216" s="118"/>
      <c r="F216" s="2"/>
      <c r="G216" s="104"/>
      <c r="H216" s="104"/>
      <c r="I216" s="104"/>
      <c r="J216" s="104"/>
    </row>
    <row r="217" spans="1:10" ht="13.5" thickBot="1">
      <c r="A217" s="46" t="s">
        <v>4</v>
      </c>
      <c r="B217" s="135">
        <f>B215-B205</f>
        <v>16400000.000000007</v>
      </c>
      <c r="C217" s="125"/>
      <c r="D217" s="127" t="s">
        <v>90</v>
      </c>
      <c r="F217" s="2"/>
      <c r="G217" s="104"/>
      <c r="H217" s="104"/>
      <c r="I217" s="104"/>
      <c r="J217" s="104"/>
    </row>
    <row r="218" spans="1:10" ht="15" thickBot="1">
      <c r="A218" s="131" t="s">
        <v>88</v>
      </c>
      <c r="B218" s="137">
        <f>B207+(B207-B206)*(B205/B217)</f>
        <v>0.144390243902439</v>
      </c>
      <c r="C218" s="125"/>
      <c r="D218" s="118" t="s">
        <v>89</v>
      </c>
      <c r="F218" s="2"/>
      <c r="G218" s="104"/>
      <c r="H218" s="104"/>
      <c r="I218" s="104"/>
      <c r="J218" s="104"/>
    </row>
    <row r="219" spans="1:10" ht="15" thickBot="1">
      <c r="A219" s="134" t="s">
        <v>6</v>
      </c>
      <c r="B219" s="138">
        <f>(B205/B215)*B206*(1-B208)+B218*(B217/B215)</f>
        <v>0.10787878787878788</v>
      </c>
      <c r="C219" s="52"/>
      <c r="D219" s="104" t="s">
        <v>69</v>
      </c>
      <c r="F219" s="2"/>
      <c r="H219" s="104"/>
      <c r="I219" s="104"/>
      <c r="J219" s="104"/>
    </row>
    <row r="222" ht="15">
      <c r="A222" s="180" t="s">
        <v>159</v>
      </c>
    </row>
    <row r="223" ht="14.25">
      <c r="A223" s="140"/>
    </row>
    <row r="224" spans="1:7" ht="12.75">
      <c r="A224" s="200" t="s">
        <v>128</v>
      </c>
      <c r="B224" s="200"/>
      <c r="C224" s="200"/>
      <c r="D224" s="200"/>
      <c r="E224" s="200"/>
      <c r="F224" s="200"/>
      <c r="G224" s="200"/>
    </row>
    <row r="225" spans="1:7" ht="12.75">
      <c r="A225" s="200"/>
      <c r="B225" s="200"/>
      <c r="C225" s="200"/>
      <c r="D225" s="200"/>
      <c r="E225" s="200"/>
      <c r="F225" s="200"/>
      <c r="G225" s="200"/>
    </row>
    <row r="226" spans="1:7" ht="12.75">
      <c r="A226" s="200"/>
      <c r="B226" s="200"/>
      <c r="C226" s="200"/>
      <c r="D226" s="200"/>
      <c r="E226" s="200"/>
      <c r="F226" s="200"/>
      <c r="G226" s="200"/>
    </row>
    <row r="227" spans="1:7" ht="12.75">
      <c r="A227" s="200"/>
      <c r="B227" s="200"/>
      <c r="C227" s="200"/>
      <c r="D227" s="200"/>
      <c r="E227" s="200"/>
      <c r="F227" s="200"/>
      <c r="G227" s="200"/>
    </row>
    <row r="228" spans="1:7" ht="12.75">
      <c r="A228" s="200"/>
      <c r="B228" s="200"/>
      <c r="C228" s="200"/>
      <c r="D228" s="200"/>
      <c r="E228" s="200"/>
      <c r="F228" s="200"/>
      <c r="G228" s="200"/>
    </row>
    <row r="229" spans="1:7" ht="12.75">
      <c r="A229" s="200"/>
      <c r="B229" s="200"/>
      <c r="C229" s="200"/>
      <c r="D229" s="200"/>
      <c r="E229" s="200"/>
      <c r="F229" s="200"/>
      <c r="G229" s="200"/>
    </row>
    <row r="230" ht="13.5" thickBot="1"/>
    <row r="231" spans="1:3" ht="13.5" thickBot="1">
      <c r="A231" s="141" t="s">
        <v>94</v>
      </c>
      <c r="B231" s="142"/>
      <c r="C231" s="143"/>
    </row>
    <row r="232" spans="1:3" ht="12.75">
      <c r="A232" s="192" t="s">
        <v>93</v>
      </c>
      <c r="B232" s="193"/>
      <c r="C232" s="105"/>
    </row>
    <row r="233" spans="1:3" ht="13.5" thickBot="1">
      <c r="A233" s="194"/>
      <c r="B233" s="195"/>
      <c r="C233" s="144">
        <v>20000000</v>
      </c>
    </row>
    <row r="234" spans="1:3" ht="12.75">
      <c r="A234" s="196" t="s">
        <v>95</v>
      </c>
      <c r="B234" s="197"/>
      <c r="C234" s="51"/>
    </row>
    <row r="235" spans="1:3" ht="13.5" thickBot="1">
      <c r="A235" s="198"/>
      <c r="B235" s="199"/>
      <c r="C235" s="12">
        <v>10000000</v>
      </c>
    </row>
    <row r="236" spans="1:3" ht="13.5" thickBot="1">
      <c r="A236" s="145" t="s">
        <v>96</v>
      </c>
      <c r="B236" s="146"/>
      <c r="C236" s="147">
        <v>5</v>
      </c>
    </row>
    <row r="238" spans="1:7" ht="12.75">
      <c r="A238" s="200" t="s">
        <v>161</v>
      </c>
      <c r="B238" s="200"/>
      <c r="C238" s="200"/>
      <c r="D238" s="200"/>
      <c r="E238" s="200"/>
      <c r="F238" s="200"/>
      <c r="G238" s="200"/>
    </row>
    <row r="239" spans="1:7" ht="12.75">
      <c r="A239" s="200"/>
      <c r="B239" s="200"/>
      <c r="C239" s="200"/>
      <c r="D239" s="200"/>
      <c r="E239" s="200"/>
      <c r="F239" s="200"/>
      <c r="G239" s="200"/>
    </row>
    <row r="240" spans="1:7" ht="12.75">
      <c r="A240" s="200"/>
      <c r="B240" s="200"/>
      <c r="C240" s="200"/>
      <c r="D240" s="200"/>
      <c r="E240" s="200"/>
      <c r="F240" s="200"/>
      <c r="G240" s="200"/>
    </row>
    <row r="241" spans="1:7" ht="12.75">
      <c r="A241" s="200"/>
      <c r="B241" s="200"/>
      <c r="C241" s="200"/>
      <c r="D241" s="200"/>
      <c r="E241" s="200"/>
      <c r="F241" s="200"/>
      <c r="G241" s="200"/>
    </row>
    <row r="242" spans="1:7" ht="12.75">
      <c r="A242" s="200"/>
      <c r="B242" s="200"/>
      <c r="C242" s="200"/>
      <c r="D242" s="200"/>
      <c r="E242" s="200"/>
      <c r="F242" s="200"/>
      <c r="G242" s="200"/>
    </row>
    <row r="243" spans="1:7" ht="12.75">
      <c r="A243" s="200"/>
      <c r="B243" s="200"/>
      <c r="C243" s="200"/>
      <c r="D243" s="200"/>
      <c r="E243" s="200"/>
      <c r="F243" s="200"/>
      <c r="G243" s="200"/>
    </row>
    <row r="244" spans="1:7" ht="12.75">
      <c r="A244" s="200"/>
      <c r="B244" s="200"/>
      <c r="C244" s="200"/>
      <c r="D244" s="200"/>
      <c r="E244" s="200"/>
      <c r="F244" s="200"/>
      <c r="G244" s="200"/>
    </row>
    <row r="245" spans="1:3" ht="12.75">
      <c r="A245"/>
      <c r="C245" s="148"/>
    </row>
    <row r="246" spans="1:3" ht="12.75">
      <c r="A246" s="1" t="s">
        <v>102</v>
      </c>
      <c r="C246" s="149"/>
    </row>
    <row r="247" spans="1:10" ht="12.75">
      <c r="A247" s="150" t="s">
        <v>97</v>
      </c>
      <c r="C247" s="151">
        <v>20</v>
      </c>
      <c r="D247" s="1" t="s">
        <v>103</v>
      </c>
      <c r="J247" s="151">
        <v>20</v>
      </c>
    </row>
    <row r="248" spans="1:10" ht="12.75">
      <c r="A248" s="150" t="s">
        <v>98</v>
      </c>
      <c r="C248" s="151">
        <v>10</v>
      </c>
      <c r="D248" s="1" t="s">
        <v>104</v>
      </c>
      <c r="J248" s="151">
        <v>10</v>
      </c>
    </row>
    <row r="249" spans="1:10" ht="12.75">
      <c r="A249" s="150" t="s">
        <v>99</v>
      </c>
      <c r="C249" s="152">
        <v>0.06</v>
      </c>
      <c r="J249" s="152">
        <v>0.06</v>
      </c>
    </row>
    <row r="250" spans="1:10" ht="12.75">
      <c r="A250" s="150" t="s">
        <v>105</v>
      </c>
      <c r="C250" s="151">
        <v>5</v>
      </c>
      <c r="D250" s="1" t="s">
        <v>106</v>
      </c>
      <c r="J250" s="151">
        <v>5</v>
      </c>
    </row>
    <row r="251" spans="1:10" ht="12.75">
      <c r="A251" s="150" t="s">
        <v>100</v>
      </c>
      <c r="C251" s="151">
        <v>0.4</v>
      </c>
      <c r="D251" s="1" t="s">
        <v>107</v>
      </c>
      <c r="J251" s="151">
        <v>0.4</v>
      </c>
    </row>
    <row r="252" spans="1:3" ht="14.25">
      <c r="A252" s="154" t="s">
        <v>108</v>
      </c>
      <c r="C252" s="189">
        <f>(LN(C247/C248)+(C249+0.5*C251^2)*C250)/(C251*SQRT(C250))</f>
        <v>1.5575858991971054</v>
      </c>
    </row>
    <row r="253" spans="1:3" ht="14.25">
      <c r="A253" s="154" t="s">
        <v>109</v>
      </c>
      <c r="C253" s="189">
        <f>C252-C251*SQRT(C250)</f>
        <v>0.6631587081971895</v>
      </c>
    </row>
    <row r="254" spans="1:3" ht="14.25">
      <c r="A254" s="154" t="s">
        <v>110</v>
      </c>
      <c r="C254" s="189">
        <f>NORMSDIST(C252)</f>
        <v>0.940334278273943</v>
      </c>
    </row>
    <row r="255" spans="1:3" ht="14.25">
      <c r="A255" s="154" t="s">
        <v>111</v>
      </c>
      <c r="C255" s="189">
        <f>NORMSDIST(C253)</f>
        <v>0.7463855430453232</v>
      </c>
    </row>
    <row r="256" spans="1:3" ht="12.75">
      <c r="A256" s="154" t="s">
        <v>101</v>
      </c>
      <c r="C256" s="155">
        <f>C247*C254-C248*EXP(-C249*C250)*C255</f>
        <v>13.277325466064918</v>
      </c>
    </row>
    <row r="257" spans="1:3" ht="12.75">
      <c r="A257" s="150"/>
      <c r="C257" s="153"/>
    </row>
    <row r="258" ht="12.75">
      <c r="A258" s="4" t="s">
        <v>112</v>
      </c>
    </row>
    <row r="259" spans="1:6" ht="12.75">
      <c r="A259" s="119" t="s">
        <v>113</v>
      </c>
      <c r="F259" s="157">
        <f>C256</f>
        <v>13.277325466064918</v>
      </c>
    </row>
    <row r="260" spans="1:6" ht="12.75">
      <c r="A260" s="119" t="s">
        <v>114</v>
      </c>
      <c r="F260" s="156">
        <f>C247-C256</f>
        <v>6.722674533935082</v>
      </c>
    </row>
    <row r="261" ht="12.75">
      <c r="A261" s="4" t="s">
        <v>132</v>
      </c>
    </row>
    <row r="262" ht="15.75">
      <c r="A262" s="4" t="s">
        <v>115</v>
      </c>
    </row>
    <row r="263" ht="13.5" thickBot="1"/>
    <row r="264" spans="1:3" ht="13.5" thickBot="1">
      <c r="A264" s="158" t="s">
        <v>98</v>
      </c>
      <c r="B264" s="146"/>
      <c r="C264" s="163">
        <f>C248</f>
        <v>10</v>
      </c>
    </row>
    <row r="265" spans="1:4" ht="13.5" thickBot="1">
      <c r="A265" s="133" t="s">
        <v>116</v>
      </c>
      <c r="B265" s="159"/>
      <c r="C265" s="160">
        <f>F260</f>
        <v>6.722674533935082</v>
      </c>
      <c r="D265" s="1" t="s">
        <v>121</v>
      </c>
    </row>
    <row r="266" spans="1:3" ht="13.5" thickBot="1">
      <c r="A266" s="132" t="s">
        <v>117</v>
      </c>
      <c r="B266" s="161"/>
      <c r="C266" s="162">
        <f>(C264/C265)^(1/C250)-1</f>
        <v>0.08265873147674752</v>
      </c>
    </row>
    <row r="269" spans="1:7" ht="12.75">
      <c r="A269" s="200" t="s">
        <v>129</v>
      </c>
      <c r="B269" s="200"/>
      <c r="C269" s="200"/>
      <c r="D269" s="200"/>
      <c r="E269" s="200"/>
      <c r="F269" s="200"/>
      <c r="G269" s="200"/>
    </row>
    <row r="270" spans="1:7" ht="12.75">
      <c r="A270" s="200"/>
      <c r="B270" s="200"/>
      <c r="C270" s="200"/>
      <c r="D270" s="200"/>
      <c r="E270" s="200"/>
      <c r="F270" s="200"/>
      <c r="G270" s="200"/>
    </row>
    <row r="271" spans="1:7" ht="12.75">
      <c r="A271" s="200"/>
      <c r="B271" s="200"/>
      <c r="C271" s="200"/>
      <c r="D271" s="200"/>
      <c r="E271" s="200"/>
      <c r="F271" s="200"/>
      <c r="G271" s="200"/>
    </row>
    <row r="272" spans="1:7" ht="12.75">
      <c r="A272" s="200"/>
      <c r="B272" s="200"/>
      <c r="C272" s="200"/>
      <c r="D272" s="200"/>
      <c r="E272" s="200"/>
      <c r="F272" s="200"/>
      <c r="G272" s="200"/>
    </row>
    <row r="275" spans="1:5" ht="12.75">
      <c r="A275" s="201" t="s">
        <v>130</v>
      </c>
      <c r="B275" s="201"/>
      <c r="C275" s="201"/>
      <c r="D275" s="201"/>
      <c r="E275" s="201"/>
    </row>
    <row r="276" spans="1:5" ht="12.75">
      <c r="A276" s="201"/>
      <c r="B276" s="201"/>
      <c r="C276" s="201"/>
      <c r="D276" s="201"/>
      <c r="E276" s="201"/>
    </row>
    <row r="277" ht="13.5" thickBot="1"/>
    <row r="278" spans="1:8" ht="12.75">
      <c r="A278" s="83" t="s">
        <v>100</v>
      </c>
      <c r="B278" s="164" t="s">
        <v>119</v>
      </c>
      <c r="C278" s="164" t="s">
        <v>120</v>
      </c>
      <c r="D278" s="51" t="s">
        <v>122</v>
      </c>
      <c r="E278" s="204" t="s">
        <v>131</v>
      </c>
      <c r="F278" s="201"/>
      <c r="G278" s="201"/>
      <c r="H278" s="201"/>
    </row>
    <row r="279" spans="1:8" ht="13.5" thickBot="1">
      <c r="A279" s="165" t="s">
        <v>118</v>
      </c>
      <c r="B279" s="166">
        <f>F259</f>
        <v>13.277325466064918</v>
      </c>
      <c r="C279" s="167">
        <f>F260</f>
        <v>6.722674533935082</v>
      </c>
      <c r="D279" s="168">
        <f>C266</f>
        <v>0.08265873147674752</v>
      </c>
      <c r="E279" s="204"/>
      <c r="F279" s="201"/>
      <c r="G279" s="201"/>
      <c r="H279" s="201"/>
    </row>
    <row r="280" spans="1:8" ht="12.75">
      <c r="A280" s="169">
        <v>0.1</v>
      </c>
      <c r="B280" s="175">
        <f t="dataTable" ref="B280:D291" dt2D="0" dtr="0" r1="C251"/>
        <v>12.591820290763518</v>
      </c>
      <c r="C280" s="176">
        <v>7.408179709236482</v>
      </c>
      <c r="D280" s="177">
        <v>0.06183661814249164</v>
      </c>
      <c r="E280" s="204"/>
      <c r="F280" s="201"/>
      <c r="G280" s="201"/>
      <c r="H280" s="201"/>
    </row>
    <row r="281" spans="1:8" ht="12.75">
      <c r="A281" s="169">
        <v>0.2</v>
      </c>
      <c r="B281" s="178">
        <v>12.61639015646534</v>
      </c>
      <c r="C281" s="170">
        <v>7.383609843534661</v>
      </c>
      <c r="D281" s="171">
        <v>0.06254235766147276</v>
      </c>
      <c r="E281" s="204"/>
      <c r="F281" s="201"/>
      <c r="G281" s="201"/>
      <c r="H281" s="201"/>
    </row>
    <row r="282" spans="1:8" ht="12.75">
      <c r="A282" s="169">
        <v>0.3</v>
      </c>
      <c r="B282" s="178">
        <v>12.832044213616893</v>
      </c>
      <c r="C282" s="170">
        <v>7.167955786383107</v>
      </c>
      <c r="D282" s="171">
        <v>0.06886027486574298</v>
      </c>
      <c r="E282" s="204"/>
      <c r="F282" s="201"/>
      <c r="G282" s="201"/>
      <c r="H282" s="201"/>
    </row>
    <row r="283" spans="1:8" ht="12.75">
      <c r="A283" s="169">
        <v>0.4</v>
      </c>
      <c r="B283" s="178">
        <v>13.277325466064918</v>
      </c>
      <c r="C283" s="170">
        <v>6.722674533935082</v>
      </c>
      <c r="D283" s="171">
        <v>0.08265873147674752</v>
      </c>
      <c r="E283" s="204"/>
      <c r="F283" s="201"/>
      <c r="G283" s="201"/>
      <c r="H283" s="201"/>
    </row>
    <row r="284" spans="1:8" ht="12.75">
      <c r="A284" s="169">
        <v>0.5</v>
      </c>
      <c r="B284" s="178">
        <v>13.861956154180202</v>
      </c>
      <c r="C284" s="170">
        <v>6.138043845819798</v>
      </c>
      <c r="D284" s="171">
        <v>0.10253910676278832</v>
      </c>
      <c r="E284" s="204"/>
      <c r="F284" s="201"/>
      <c r="G284" s="201"/>
      <c r="H284" s="201"/>
    </row>
    <row r="285" spans="1:4" ht="12.75">
      <c r="A285" s="169">
        <v>0.6</v>
      </c>
      <c r="B285" s="178">
        <v>14.508640209146384</v>
      </c>
      <c r="C285" s="170">
        <v>5.4913597908536165</v>
      </c>
      <c r="D285" s="171">
        <v>0.12736363061251899</v>
      </c>
    </row>
    <row r="286" spans="1:4" ht="12.75">
      <c r="A286" s="169">
        <v>0.7</v>
      </c>
      <c r="B286" s="178">
        <v>15.167616497800239</v>
      </c>
      <c r="C286" s="170">
        <v>4.832383502199761</v>
      </c>
      <c r="D286" s="171">
        <v>0.15655881065065214</v>
      </c>
    </row>
    <row r="287" spans="1:4" ht="12.75">
      <c r="A287" s="169">
        <v>0.8</v>
      </c>
      <c r="B287" s="178">
        <v>15.807947471936886</v>
      </c>
      <c r="C287" s="170">
        <v>4.192052528063114</v>
      </c>
      <c r="D287" s="171">
        <v>0.18991148630520027</v>
      </c>
    </row>
    <row r="288" spans="1:4" ht="12.75">
      <c r="A288" s="169">
        <v>0.9</v>
      </c>
      <c r="B288" s="178">
        <v>16.410552785749598</v>
      </c>
      <c r="C288" s="170">
        <v>3.589447214250402</v>
      </c>
      <c r="D288" s="171">
        <v>0.22742364653138636</v>
      </c>
    </row>
    <row r="289" spans="1:4" ht="12.75">
      <c r="A289" s="169">
        <v>1</v>
      </c>
      <c r="B289" s="178">
        <v>16.96408159176361</v>
      </c>
      <c r="C289" s="170">
        <v>3.035918408236391</v>
      </c>
      <c r="D289" s="171">
        <v>0.269234828581032</v>
      </c>
    </row>
    <row r="290" spans="1:4" ht="12.75">
      <c r="A290" s="169">
        <v>1.1</v>
      </c>
      <c r="B290" s="178">
        <v>17.462480835270277</v>
      </c>
      <c r="C290" s="170">
        <v>2.537519164729723</v>
      </c>
      <c r="D290" s="171">
        <v>0.3155826392959151</v>
      </c>
    </row>
    <row r="291" spans="1:4" ht="13.5" thickBot="1">
      <c r="A291" s="172">
        <v>1.2</v>
      </c>
      <c r="B291" s="179">
        <v>17.903467722737417</v>
      </c>
      <c r="C291" s="173">
        <v>2.0965322772625825</v>
      </c>
      <c r="D291" s="174">
        <v>0.36678338074361183</v>
      </c>
    </row>
    <row r="294" ht="12.75">
      <c r="A294" s="1" t="s">
        <v>135</v>
      </c>
    </row>
  </sheetData>
  <sheetProtection/>
  <mergeCells count="15">
    <mergeCell ref="E278:H284"/>
    <mergeCell ref="A224:G229"/>
    <mergeCell ref="A238:G244"/>
    <mergeCell ref="A269:G272"/>
    <mergeCell ref="A275:E276"/>
    <mergeCell ref="A3:I3"/>
    <mergeCell ref="A232:B233"/>
    <mergeCell ref="A234:B235"/>
    <mergeCell ref="A10:G11"/>
    <mergeCell ref="A36:G37"/>
    <mergeCell ref="A54:G56"/>
    <mergeCell ref="A148:G149"/>
    <mergeCell ref="D166:G170"/>
    <mergeCell ref="A173:G179"/>
    <mergeCell ref="A7:H7"/>
  </mergeCells>
  <printOptions gridLines="1" headings="1"/>
  <pageMargins left="0.3" right="0.3" top="1" bottom="1" header="0.5" footer="0.5"/>
  <pageSetup horizontalDpi="600" verticalDpi="600" orientation="portrait" scale="84" r:id="rId10"/>
  <rowBreaks count="2" manualBreakCount="2">
    <brk id="53" max="12" man="1"/>
    <brk id="109" max="12" man="1"/>
  </rowBreaks>
  <colBreaks count="1" manualBreakCount="1">
    <brk id="9" max="266" man="1"/>
  </colBreaks>
  <drawing r:id="rId9"/>
  <legacyDrawing r:id="rId8"/>
  <oleObjects>
    <oleObject progId="Equation.3" shapeId="123544" r:id="rId2"/>
    <oleObject progId="Equation.3" shapeId="137232" r:id="rId3"/>
    <oleObject progId="Equation.3" shapeId="3346865" r:id="rId4"/>
    <oleObject progId="Equation.3" shapeId="3362995" r:id="rId5"/>
    <oleObject progId="Equation.3" shapeId="3366953" r:id="rId6"/>
    <oleObject progId="Equation.3" shapeId="3374889" r:id="rId7"/>
  </oleObjects>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33203125" defaultRowHeight="12.75"/>
  <cols>
    <col min="1" max="1" width="19.5" style="0" customWidth="1"/>
    <col min="2" max="2" width="18.5" style="0" customWidth="1"/>
    <col min="3" max="3" width="15.33203125" style="0" customWidth="1"/>
  </cols>
  <sheetData>
    <row r="1" ht="16.5">
      <c r="A1" s="182" t="s">
        <v>151</v>
      </c>
    </row>
    <row r="2" ht="12.75">
      <c r="A2" s="183" t="s">
        <v>136</v>
      </c>
    </row>
    <row r="4" spans="1:8" ht="54" customHeight="1">
      <c r="A4" s="205" t="s">
        <v>138</v>
      </c>
      <c r="B4" s="205"/>
      <c r="C4" s="205"/>
      <c r="D4" s="205"/>
      <c r="E4" s="205"/>
      <c r="F4" s="205"/>
      <c r="G4" s="205"/>
      <c r="H4" s="205"/>
    </row>
    <row r="6" ht="12.75">
      <c r="A6" s="184" t="s">
        <v>140</v>
      </c>
    </row>
    <row r="7" ht="12.75">
      <c r="A7" s="184"/>
    </row>
    <row r="8" spans="1:5" ht="14.25">
      <c r="A8" s="184" t="s">
        <v>139</v>
      </c>
      <c r="B8" s="184"/>
      <c r="C8" s="185">
        <v>100</v>
      </c>
      <c r="E8" s="185"/>
    </row>
    <row r="9" spans="1:3" ht="12.75">
      <c r="A9" s="184"/>
      <c r="B9" s="184"/>
      <c r="C9" s="184"/>
    </row>
    <row r="10" spans="1:3" ht="14.25">
      <c r="A10" s="184" t="s">
        <v>141</v>
      </c>
      <c r="B10" s="184"/>
      <c r="C10" s="186">
        <f>C8</f>
        <v>100</v>
      </c>
    </row>
    <row r="13" ht="12.75">
      <c r="A13" s="184" t="s">
        <v>142</v>
      </c>
    </row>
    <row r="14" ht="12.75">
      <c r="A14" s="184"/>
    </row>
    <row r="15" spans="1:3" ht="14.25">
      <c r="A15" s="184" t="s">
        <v>139</v>
      </c>
      <c r="B15" s="184"/>
      <c r="C15" s="185">
        <f>C8</f>
        <v>100</v>
      </c>
    </row>
    <row r="16" spans="1:3" ht="12.75">
      <c r="A16" s="184" t="s">
        <v>146</v>
      </c>
      <c r="B16" s="184"/>
      <c r="C16" s="187">
        <v>0.4</v>
      </c>
    </row>
    <row r="17" spans="1:3" ht="12.75">
      <c r="A17" s="184" t="s">
        <v>143</v>
      </c>
      <c r="B17" s="184"/>
      <c r="C17" s="185">
        <v>30</v>
      </c>
    </row>
    <row r="18" spans="1:3" ht="12.75">
      <c r="A18" s="184"/>
      <c r="B18" s="184"/>
      <c r="C18" s="184"/>
    </row>
    <row r="19" spans="1:3" ht="14.25">
      <c r="A19" s="184" t="s">
        <v>141</v>
      </c>
      <c r="B19" s="184"/>
      <c r="C19" s="186">
        <f>C15+((C16*C17))</f>
        <v>112</v>
      </c>
    </row>
  </sheetData>
  <sheetProtection/>
  <mergeCells count="1">
    <mergeCell ref="A4:H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33203125" defaultRowHeight="12.75"/>
  <cols>
    <col min="1" max="1" width="20.5" style="0" customWidth="1"/>
    <col min="2" max="2" width="21.33203125" style="0" customWidth="1"/>
    <col min="3" max="3" width="17.33203125" style="0" customWidth="1"/>
  </cols>
  <sheetData>
    <row r="1" ht="16.5">
      <c r="A1" s="182" t="s">
        <v>137</v>
      </c>
    </row>
    <row r="2" ht="12.75">
      <c r="A2" s="183" t="s">
        <v>136</v>
      </c>
    </row>
    <row r="4" spans="1:8" ht="42.75" customHeight="1">
      <c r="A4" s="205" t="s">
        <v>144</v>
      </c>
      <c r="B4" s="205"/>
      <c r="C4" s="205"/>
      <c r="D4" s="205"/>
      <c r="E4" s="205"/>
      <c r="F4" s="205"/>
      <c r="G4" s="205"/>
      <c r="H4" s="205"/>
    </row>
    <row r="7" ht="12.75">
      <c r="A7" s="184" t="s">
        <v>145</v>
      </c>
    </row>
    <row r="8" ht="12.75">
      <c r="A8" s="184"/>
    </row>
    <row r="9" spans="1:5" ht="14.25">
      <c r="A9" s="184" t="s">
        <v>139</v>
      </c>
      <c r="B9" s="184"/>
      <c r="C9" s="185">
        <v>100</v>
      </c>
      <c r="E9" s="185"/>
    </row>
    <row r="10" spans="1:5" ht="12.75">
      <c r="A10" s="184" t="s">
        <v>146</v>
      </c>
      <c r="B10" s="184"/>
      <c r="C10" s="187">
        <v>0.4</v>
      </c>
      <c r="E10" s="187"/>
    </row>
    <row r="11" spans="1:5" ht="12.75">
      <c r="A11" s="184" t="s">
        <v>147</v>
      </c>
      <c r="B11" s="184"/>
      <c r="C11" s="187">
        <v>0.15</v>
      </c>
      <c r="E11" s="187"/>
    </row>
    <row r="12" spans="1:5" ht="12.75">
      <c r="A12" s="184" t="s">
        <v>148</v>
      </c>
      <c r="B12" s="184"/>
      <c r="C12" s="187">
        <v>0.35</v>
      </c>
      <c r="E12" s="187"/>
    </row>
    <row r="13" spans="1:5" ht="12.75">
      <c r="A13" s="184" t="s">
        <v>143</v>
      </c>
      <c r="B13" s="184"/>
      <c r="C13" s="185">
        <v>30</v>
      </c>
      <c r="E13" s="185"/>
    </row>
    <row r="14" spans="1:3" ht="12.75">
      <c r="A14" s="184"/>
      <c r="B14" s="184"/>
      <c r="C14" s="184"/>
    </row>
    <row r="15" spans="1:3" ht="14.25">
      <c r="A15" s="184" t="s">
        <v>141</v>
      </c>
      <c r="B15" s="184"/>
      <c r="C15" s="186">
        <f>C9+((1-(((1-C10)*(1-C11))/(1-C12)))*C13)</f>
        <v>106.46153846153847</v>
      </c>
    </row>
  </sheetData>
  <sheetProtection/>
  <mergeCells count="1">
    <mergeCell ref="A4:H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
    </sheetView>
  </sheetViews>
  <sheetFormatPr defaultColWidth="9.33203125" defaultRowHeight="12.75"/>
  <cols>
    <col min="1" max="1" width="22.5" style="0" customWidth="1"/>
    <col min="2" max="2" width="22.83203125" style="0" customWidth="1"/>
    <col min="3" max="3" width="22.33203125" style="0" customWidth="1"/>
  </cols>
  <sheetData>
    <row r="1" ht="16.5">
      <c r="A1" s="182" t="s">
        <v>152</v>
      </c>
    </row>
    <row r="2" ht="12.75">
      <c r="A2" s="183" t="s">
        <v>136</v>
      </c>
    </row>
    <row r="4" spans="1:8" ht="69" customHeight="1">
      <c r="A4" s="205" t="s">
        <v>158</v>
      </c>
      <c r="B4" s="205"/>
      <c r="C4" s="205"/>
      <c r="D4" s="205"/>
      <c r="E4" s="205"/>
      <c r="F4" s="205"/>
      <c r="G4" s="205"/>
      <c r="H4" s="205"/>
    </row>
    <row r="6" ht="12.75">
      <c r="A6" s="184"/>
    </row>
    <row r="7" spans="1:5" ht="14.25">
      <c r="A7" s="184" t="s">
        <v>139</v>
      </c>
      <c r="B7" s="184"/>
      <c r="C7" s="185">
        <v>100</v>
      </c>
      <c r="E7" s="185"/>
    </row>
    <row r="8" spans="1:5" ht="12.75">
      <c r="A8" s="184" t="s">
        <v>146</v>
      </c>
      <c r="B8" s="184"/>
      <c r="C8" s="187">
        <v>0.4</v>
      </c>
      <c r="E8" s="187"/>
    </row>
    <row r="9" spans="1:5" ht="12.75">
      <c r="A9" s="184" t="s">
        <v>153</v>
      </c>
      <c r="B9" s="184"/>
      <c r="C9" s="187">
        <v>0.05</v>
      </c>
      <c r="E9" s="187"/>
    </row>
    <row r="10" spans="1:5" ht="14.25">
      <c r="A10" s="184" t="s">
        <v>155</v>
      </c>
      <c r="B10" s="184"/>
      <c r="C10" s="187">
        <v>0.06</v>
      </c>
      <c r="E10" s="187"/>
    </row>
    <row r="11" spans="1:5" ht="14.25">
      <c r="A11" s="184" t="s">
        <v>154</v>
      </c>
      <c r="B11" s="184"/>
      <c r="C11" s="187">
        <v>0.08</v>
      </c>
      <c r="E11" s="187"/>
    </row>
    <row r="12" spans="1:5" ht="12.75">
      <c r="A12" s="184" t="s">
        <v>143</v>
      </c>
      <c r="B12" s="184"/>
      <c r="C12" s="185">
        <v>30</v>
      </c>
      <c r="E12" s="185"/>
    </row>
    <row r="13" spans="1:3" ht="12.75">
      <c r="A13" s="184"/>
      <c r="B13" s="184"/>
      <c r="C13" s="184"/>
    </row>
    <row r="14" spans="1:3" ht="14.25">
      <c r="A14" s="184" t="s">
        <v>141</v>
      </c>
      <c r="B14" s="184"/>
      <c r="C14" s="186">
        <f>C7+((C10*C8*C12)/(C11-C9))</f>
        <v>124</v>
      </c>
    </row>
    <row r="16" spans="1:3" ht="12.75">
      <c r="A16" s="184" t="s">
        <v>156</v>
      </c>
      <c r="C16" s="186">
        <f>C14-C12</f>
        <v>94</v>
      </c>
    </row>
    <row r="18" spans="1:3" ht="14.25">
      <c r="A18" s="184" t="s">
        <v>157</v>
      </c>
      <c r="C18" s="188">
        <f>C11+((C11-C10)*(C12/C16))</f>
        <v>0.08638297872340425</v>
      </c>
    </row>
  </sheetData>
  <sheetProtection/>
  <mergeCells count="1">
    <mergeCell ref="A4: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structure advanced issues, tool kit</dc:title>
  <dc:subject>Tool Kit</dc:subject>
  <dc:creator>Phillip Daves and Mike Ehrhardt</dc:creator>
  <cp:keywords/>
  <dc:description/>
  <cp:lastModifiedBy>Kristin</cp:lastModifiedBy>
  <cp:lastPrinted>2001-01-23T19:33:04Z</cp:lastPrinted>
  <dcterms:created xsi:type="dcterms:W3CDTF">1999-11-10T16:31:22Z</dcterms:created>
  <dcterms:modified xsi:type="dcterms:W3CDTF">2011-03-26T16:26:58Z</dcterms:modified>
  <cp:category/>
  <cp:version/>
  <cp:contentType/>
  <cp:contentStatus/>
</cp:coreProperties>
</file>